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010" windowHeight="6615"/>
  </bookViews>
  <sheets>
    <sheet name="Inhaltsstoffbewertung" sheetId="1" r:id="rId1"/>
    <sheet name="ZZ Verluste" sheetId="3" r:id="rId2"/>
    <sheet name="Mastitis Loss" sheetId="5" r:id="rId3"/>
    <sheet name="Mastitis Loss estimates" sheetId="4" r:id="rId4"/>
  </sheets>
  <externalReferences>
    <externalReference r:id="rId5"/>
  </externalReferences>
  <calcPr calcId="145621"/>
</workbook>
</file>

<file path=xl/calcChain.xml><?xml version="1.0" encoding="utf-8"?>
<calcChain xmlns="http://schemas.openxmlformats.org/spreadsheetml/2006/main">
  <c r="L6" i="1" l="1"/>
  <c r="I6" i="1"/>
  <c r="F6" i="1"/>
  <c r="L24" i="1" l="1"/>
  <c r="K24" i="1"/>
  <c r="I24" i="1"/>
  <c r="H24" i="1"/>
  <c r="F24" i="1"/>
  <c r="E24" i="1"/>
  <c r="C24" i="1"/>
  <c r="B24" i="1"/>
  <c r="B62" i="5"/>
  <c r="B59" i="5"/>
  <c r="A53" i="5"/>
  <c r="B47" i="5"/>
  <c r="A47" i="5"/>
  <c r="B42" i="5"/>
  <c r="B41" i="5"/>
  <c r="B45" i="5" s="1"/>
  <c r="B49" i="5" s="1"/>
  <c r="A41" i="5"/>
  <c r="A40" i="5"/>
  <c r="B38" i="5"/>
  <c r="A38" i="5"/>
  <c r="A42" i="5" s="1"/>
  <c r="B34" i="5"/>
  <c r="H30" i="5"/>
  <c r="A26" i="5"/>
  <c r="A24" i="5"/>
  <c r="H23" i="5"/>
  <c r="B63" i="5" s="1"/>
  <c r="A61" i="5" s="1"/>
  <c r="A21" i="5"/>
  <c r="E15" i="5" s="1"/>
  <c r="A18" i="5"/>
  <c r="A54" i="5" s="1"/>
  <c r="A55" i="5" s="1"/>
  <c r="A5" i="5" s="1"/>
  <c r="A6" i="5"/>
  <c r="H1" i="5"/>
  <c r="K31" i="4"/>
  <c r="I31" i="4"/>
  <c r="J31" i="4" s="1"/>
  <c r="I30" i="4"/>
  <c r="K30" i="4" s="1"/>
  <c r="J29" i="4"/>
  <c r="I29" i="4"/>
  <c r="K29" i="4" s="1"/>
  <c r="K28" i="4"/>
  <c r="J28" i="4"/>
  <c r="I28" i="4"/>
  <c r="L27" i="4"/>
  <c r="K27" i="4"/>
  <c r="I27" i="4"/>
  <c r="J27" i="4" s="1"/>
  <c r="I26" i="4"/>
  <c r="K26" i="4" s="1"/>
  <c r="J25" i="4"/>
  <c r="I25" i="4"/>
  <c r="K25" i="4" s="1"/>
  <c r="K24" i="4"/>
  <c r="J24" i="4"/>
  <c r="I24" i="4"/>
  <c r="L23" i="4"/>
  <c r="K23" i="4"/>
  <c r="I23" i="4"/>
  <c r="J23" i="4" s="1"/>
  <c r="I22" i="4"/>
  <c r="K22" i="4" s="1"/>
  <c r="N21" i="4"/>
  <c r="N31" i="4" s="1"/>
  <c r="M21" i="4"/>
  <c r="M28" i="4" s="1"/>
  <c r="L21" i="4"/>
  <c r="L29" i="4" s="1"/>
  <c r="I17" i="4"/>
  <c r="K17" i="4" s="1"/>
  <c r="J16" i="4"/>
  <c r="I16" i="4"/>
  <c r="K16" i="4" s="1"/>
  <c r="K15" i="4"/>
  <c r="J15" i="4"/>
  <c r="I15" i="4"/>
  <c r="K14" i="4"/>
  <c r="I14" i="4"/>
  <c r="J14" i="4" s="1"/>
  <c r="I13" i="4"/>
  <c r="I12" i="4"/>
  <c r="K12" i="4" s="1"/>
  <c r="K11" i="4"/>
  <c r="J11" i="4"/>
  <c r="I11" i="4"/>
  <c r="K10" i="4"/>
  <c r="I10" i="4"/>
  <c r="J10" i="4" s="1"/>
  <c r="I9" i="4"/>
  <c r="K9" i="4" s="1"/>
  <c r="K8" i="4"/>
  <c r="I8" i="4"/>
  <c r="J8" i="4" s="1"/>
  <c r="L7" i="4"/>
  <c r="B3" i="4"/>
  <c r="B2" i="4"/>
  <c r="A41" i="3"/>
  <c r="B41" i="3"/>
  <c r="B45" i="3" s="1"/>
  <c r="B49" i="3" s="1"/>
  <c r="B62" i="3"/>
  <c r="B59" i="3"/>
  <c r="A53" i="3"/>
  <c r="B47" i="3"/>
  <c r="A47" i="3"/>
  <c r="A40" i="3"/>
  <c r="B38" i="3"/>
  <c r="B42" i="3" s="1"/>
  <c r="A38" i="3"/>
  <c r="A42" i="3" s="1"/>
  <c r="B34" i="3"/>
  <c r="H30" i="3"/>
  <c r="A28" i="3"/>
  <c r="A26" i="3"/>
  <c r="A24" i="3"/>
  <c r="H23" i="3"/>
  <c r="A21" i="3"/>
  <c r="E15" i="3" s="1"/>
  <c r="A18" i="3"/>
  <c r="A54" i="3" s="1"/>
  <c r="A55" i="3" s="1"/>
  <c r="A5" i="3" s="1"/>
  <c r="A6" i="3"/>
  <c r="H1" i="3"/>
  <c r="A45" i="5" l="1"/>
  <c r="A49" i="5" s="1"/>
  <c r="A50" i="5" s="1"/>
  <c r="A4" i="5" s="1"/>
  <c r="A43" i="5"/>
  <c r="A44" i="5" s="1"/>
  <c r="B60" i="5"/>
  <c r="A58" i="5" s="1"/>
  <c r="A7" i="5" s="1"/>
  <c r="A28" i="5"/>
  <c r="B43" i="5"/>
  <c r="B44" i="5" s="1"/>
  <c r="E13" i="5"/>
  <c r="A30" i="5"/>
  <c r="L16" i="4"/>
  <c r="L12" i="4"/>
  <c r="L15" i="4"/>
  <c r="L11" i="4"/>
  <c r="L17" i="4"/>
  <c r="K18" i="4"/>
  <c r="L9" i="4"/>
  <c r="M7" i="4"/>
  <c r="L8" i="4"/>
  <c r="L10" i="4"/>
  <c r="L14" i="4"/>
  <c r="D30" i="4"/>
  <c r="D22" i="4"/>
  <c r="D29" i="4"/>
  <c r="D25" i="4"/>
  <c r="D28" i="4"/>
  <c r="D24" i="4"/>
  <c r="D31" i="4"/>
  <c r="D23" i="4"/>
  <c r="J12" i="4"/>
  <c r="K13" i="4"/>
  <c r="J13" i="4"/>
  <c r="J9" i="4"/>
  <c r="J18" i="4" s="1"/>
  <c r="L13" i="4"/>
  <c r="K32" i="4"/>
  <c r="L22" i="4"/>
  <c r="N24" i="4"/>
  <c r="M25" i="4"/>
  <c r="L26" i="4"/>
  <c r="N28" i="4"/>
  <c r="M29" i="4"/>
  <c r="L30" i="4"/>
  <c r="M22" i="4"/>
  <c r="N25" i="4"/>
  <c r="M26" i="4"/>
  <c r="N29" i="4"/>
  <c r="M30" i="4"/>
  <c r="L31" i="4"/>
  <c r="J17" i="4"/>
  <c r="O21" i="4"/>
  <c r="J22" i="4"/>
  <c r="N22" i="4"/>
  <c r="M23" i="4"/>
  <c r="L24" i="4"/>
  <c r="J26" i="4"/>
  <c r="N26" i="4"/>
  <c r="M27" i="4"/>
  <c r="L28" i="4"/>
  <c r="J30" i="4"/>
  <c r="N30" i="4"/>
  <c r="M31" i="4"/>
  <c r="N23" i="4"/>
  <c r="M24" i="4"/>
  <c r="L25" i="4"/>
  <c r="N27" i="4"/>
  <c r="B60" i="3"/>
  <c r="A58" i="3" s="1"/>
  <c r="B63" i="3"/>
  <c r="A61" i="3" s="1"/>
  <c r="A7" i="3" s="1"/>
  <c r="A45" i="3"/>
  <c r="A49" i="3" s="1"/>
  <c r="A50" i="3" s="1"/>
  <c r="A4" i="3" s="1"/>
  <c r="A43" i="3"/>
  <c r="A44" i="3" s="1"/>
  <c r="B43" i="3"/>
  <c r="B44" i="3" s="1"/>
  <c r="E13" i="3"/>
  <c r="A30" i="3"/>
  <c r="L9" i="1"/>
  <c r="I9" i="1"/>
  <c r="F9" i="1"/>
  <c r="K9" i="1"/>
  <c r="H9" i="1"/>
  <c r="E9" i="1"/>
  <c r="C9" i="1"/>
  <c r="B9" i="1"/>
  <c r="L26" i="1"/>
  <c r="K26" i="1"/>
  <c r="I26" i="1"/>
  <c r="H26" i="1"/>
  <c r="L25" i="1"/>
  <c r="K25" i="1"/>
  <c r="K27" i="1" s="1"/>
  <c r="I25" i="1"/>
  <c r="H25" i="1"/>
  <c r="H27" i="1" s="1"/>
  <c r="L8" i="1"/>
  <c r="K8" i="1"/>
  <c r="I8" i="1"/>
  <c r="H8" i="1"/>
  <c r="K6" i="1"/>
  <c r="H6" i="1"/>
  <c r="L27" i="1" l="1"/>
  <c r="A8" i="5"/>
  <c r="A9" i="5" s="1"/>
  <c r="M15" i="4"/>
  <c r="M11" i="4"/>
  <c r="M14" i="4"/>
  <c r="M10" i="4"/>
  <c r="M17" i="4"/>
  <c r="M16" i="4"/>
  <c r="M12" i="4"/>
  <c r="M8" i="4"/>
  <c r="N7" i="4"/>
  <c r="M9" i="4"/>
  <c r="M13" i="4"/>
  <c r="N32" i="4"/>
  <c r="L32" i="4"/>
  <c r="J32" i="4"/>
  <c r="M32" i="4"/>
  <c r="L18" i="4"/>
  <c r="O30" i="4"/>
  <c r="O26" i="4"/>
  <c r="O22" i="4"/>
  <c r="P21" i="4"/>
  <c r="O29" i="4"/>
  <c r="O25" i="4"/>
  <c r="O28" i="4"/>
  <c r="O24" i="4"/>
  <c r="O31" i="4"/>
  <c r="O27" i="4"/>
  <c r="O23" i="4"/>
  <c r="E22" i="4"/>
  <c r="C22" i="4" s="1"/>
  <c r="A22" i="4" s="1"/>
  <c r="E27" i="4"/>
  <c r="C27" i="4" s="1"/>
  <c r="A27" i="4" s="1"/>
  <c r="D27" i="4"/>
  <c r="D26" i="4"/>
  <c r="A8" i="3"/>
  <c r="A9" i="3" s="1"/>
  <c r="I27" i="1"/>
  <c r="I28" i="1" s="1"/>
  <c r="I29" i="1" s="1"/>
  <c r="I19" i="1" s="1"/>
  <c r="I20" i="1" s="1"/>
  <c r="H28" i="1"/>
  <c r="H29" i="1"/>
  <c r="H19" i="1" s="1"/>
  <c r="H20" i="1" s="1"/>
  <c r="K28" i="1"/>
  <c r="K29" i="1" s="1"/>
  <c r="K19" i="1" s="1"/>
  <c r="K20" i="1" s="1"/>
  <c r="L28" i="1"/>
  <c r="L29" i="1" s="1"/>
  <c r="L19" i="1" s="1"/>
  <c r="L20" i="1" s="1"/>
  <c r="F26" i="1"/>
  <c r="F25" i="1"/>
  <c r="C26" i="1"/>
  <c r="C25" i="1"/>
  <c r="E26" i="1"/>
  <c r="E25" i="1"/>
  <c r="B25" i="1"/>
  <c r="B26" i="1"/>
  <c r="N14" i="4" l="1"/>
  <c r="N10" i="4"/>
  <c r="N17" i="4"/>
  <c r="N13" i="4"/>
  <c r="N16" i="4"/>
  <c r="N15" i="4"/>
  <c r="N11" i="4"/>
  <c r="N8" i="4"/>
  <c r="O7" i="4"/>
  <c r="N9" i="4"/>
  <c r="N12" i="4"/>
  <c r="P29" i="4"/>
  <c r="P25" i="4"/>
  <c r="P28" i="4"/>
  <c r="P24" i="4"/>
  <c r="P31" i="4"/>
  <c r="P27" i="4"/>
  <c r="P23" i="4"/>
  <c r="P30" i="4"/>
  <c r="P26" i="4"/>
  <c r="P22" i="4"/>
  <c r="P32" i="4" s="1"/>
  <c r="Q21" i="4"/>
  <c r="E23" i="4"/>
  <c r="C23" i="4" s="1"/>
  <c r="A23" i="4" s="1"/>
  <c r="A32" i="4" s="1"/>
  <c r="E30" i="4"/>
  <c r="C30" i="4" s="1"/>
  <c r="A30" i="4" s="1"/>
  <c r="E29" i="4"/>
  <c r="C29" i="4" s="1"/>
  <c r="A29" i="4" s="1"/>
  <c r="E28" i="4"/>
  <c r="C28" i="4" s="1"/>
  <c r="A28" i="4" s="1"/>
  <c r="E31" i="4"/>
  <c r="C31" i="4" s="1"/>
  <c r="A31" i="4" s="1"/>
  <c r="E26" i="4"/>
  <c r="C26" i="4" s="1"/>
  <c r="A26" i="4" s="1"/>
  <c r="M18" i="4"/>
  <c r="E25" i="4"/>
  <c r="C25" i="4" s="1"/>
  <c r="A25" i="4" s="1"/>
  <c r="O32" i="4"/>
  <c r="E24" i="4"/>
  <c r="C24" i="4" s="1"/>
  <c r="A24" i="4" s="1"/>
  <c r="F27" i="1"/>
  <c r="F28" i="1" s="1"/>
  <c r="E27" i="1"/>
  <c r="E28" i="1" s="1"/>
  <c r="F8" i="1"/>
  <c r="E8" i="1"/>
  <c r="E6" i="1"/>
  <c r="C27" i="1"/>
  <c r="C28" i="1" s="1"/>
  <c r="B27" i="1"/>
  <c r="B28" i="1" s="1"/>
  <c r="C8" i="1"/>
  <c r="B8" i="1"/>
  <c r="C6" i="1"/>
  <c r="B6" i="1"/>
  <c r="N18" i="4" l="1"/>
  <c r="Q28" i="4"/>
  <c r="Q24" i="4"/>
  <c r="Q31" i="4"/>
  <c r="Q27" i="4"/>
  <c r="Q23" i="4"/>
  <c r="Q30" i="4"/>
  <c r="Q26" i="4"/>
  <c r="Q22" i="4"/>
  <c r="R21" i="4"/>
  <c r="Q29" i="4"/>
  <c r="Q25" i="4"/>
  <c r="O17" i="4"/>
  <c r="O13" i="4"/>
  <c r="O9" i="4"/>
  <c r="O16" i="4"/>
  <c r="O12" i="4"/>
  <c r="O15" i="4"/>
  <c r="O14" i="4"/>
  <c r="O10" i="4"/>
  <c r="O11" i="4"/>
  <c r="O8" i="4"/>
  <c r="O18" i="4" s="1"/>
  <c r="P7" i="4"/>
  <c r="E14" i="4"/>
  <c r="C14" i="4" s="1"/>
  <c r="A14" i="4" s="1"/>
  <c r="D8" i="4"/>
  <c r="E8" i="4"/>
  <c r="C8" i="4" s="1"/>
  <c r="A8" i="4" s="1"/>
  <c r="D9" i="4"/>
  <c r="D12" i="4"/>
  <c r="E13" i="4"/>
  <c r="C13" i="4" s="1"/>
  <c r="A13" i="4" s="1"/>
  <c r="E16" i="4"/>
  <c r="E15" i="4"/>
  <c r="C15" i="4" s="1"/>
  <c r="A15" i="4" s="1"/>
  <c r="D14" i="4"/>
  <c r="E9" i="4"/>
  <c r="C9" i="4" s="1"/>
  <c r="A9" i="4" s="1"/>
  <c r="D17" i="4"/>
  <c r="E10" i="4"/>
  <c r="D15" i="4"/>
  <c r="E12" i="4"/>
  <c r="C12" i="4" s="1"/>
  <c r="A12" i="4" s="1"/>
  <c r="E11" i="4"/>
  <c r="D10" i="4"/>
  <c r="D13" i="4"/>
  <c r="D16" i="4"/>
  <c r="D11" i="4"/>
  <c r="E29" i="1"/>
  <c r="E19" i="1" s="1"/>
  <c r="E20" i="1" s="1"/>
  <c r="F29" i="1"/>
  <c r="F19" i="1" s="1"/>
  <c r="F20" i="1" s="1"/>
  <c r="B29" i="1"/>
  <c r="B19" i="1" s="1"/>
  <c r="B20" i="1" s="1"/>
  <c r="C29" i="1"/>
  <c r="O29" i="1" l="1"/>
  <c r="N29" i="1"/>
  <c r="C10" i="4"/>
  <c r="A10" i="4" s="1"/>
  <c r="C11" i="4"/>
  <c r="A11" i="4" s="1"/>
  <c r="C16" i="4"/>
  <c r="A16" i="4" s="1"/>
  <c r="P16" i="4"/>
  <c r="P12" i="4"/>
  <c r="P15" i="4"/>
  <c r="P11" i="4"/>
  <c r="P17" i="4"/>
  <c r="P14" i="4"/>
  <c r="P10" i="4"/>
  <c r="P9" i="4"/>
  <c r="P13" i="4"/>
  <c r="P8" i="4"/>
  <c r="Q7" i="4"/>
  <c r="R31" i="4"/>
  <c r="R27" i="4"/>
  <c r="R23" i="4"/>
  <c r="R30" i="4"/>
  <c r="R26" i="4"/>
  <c r="R22" i="4"/>
  <c r="S21" i="4"/>
  <c r="R29" i="4"/>
  <c r="R25" i="4"/>
  <c r="R28" i="4"/>
  <c r="R24" i="4"/>
  <c r="E17" i="4"/>
  <c r="C17" i="4" s="1"/>
  <c r="A17" i="4" s="1"/>
  <c r="A18" i="4" s="1"/>
  <c r="Q32" i="4"/>
  <c r="C19" i="1"/>
  <c r="C20" i="1" l="1"/>
  <c r="N19" i="1"/>
  <c r="O19" i="1"/>
  <c r="Q15" i="4"/>
  <c r="Q11" i="4"/>
  <c r="Q14" i="4"/>
  <c r="Q10" i="4"/>
  <c r="Q17" i="4"/>
  <c r="Q16" i="4"/>
  <c r="Q13" i="4"/>
  <c r="Q8" i="4"/>
  <c r="Q18" i="4" s="1"/>
  <c r="R7" i="4"/>
  <c r="Q12" i="4"/>
  <c r="Q9" i="4"/>
  <c r="S30" i="4"/>
  <c r="S26" i="4"/>
  <c r="S22" i="4"/>
  <c r="T21" i="4"/>
  <c r="S29" i="4"/>
  <c r="S25" i="4"/>
  <c r="S28" i="4"/>
  <c r="S24" i="4"/>
  <c r="S31" i="4"/>
  <c r="S27" i="4"/>
  <c r="S23" i="4"/>
  <c r="R32" i="4"/>
  <c r="P18" i="4"/>
  <c r="N20" i="1" l="1"/>
  <c r="O20" i="1"/>
  <c r="T29" i="4"/>
  <c r="T25" i="4"/>
  <c r="T28" i="4"/>
  <c r="T24" i="4"/>
  <c r="T31" i="4"/>
  <c r="T27" i="4"/>
  <c r="T23" i="4"/>
  <c r="T30" i="4"/>
  <c r="T26" i="4"/>
  <c r="T22" i="4"/>
  <c r="U21" i="4"/>
  <c r="S32" i="4"/>
  <c r="R14" i="4"/>
  <c r="R10" i="4"/>
  <c r="R17" i="4"/>
  <c r="R13" i="4"/>
  <c r="R16" i="4"/>
  <c r="R15" i="4"/>
  <c r="R8" i="4"/>
  <c r="S7" i="4"/>
  <c r="R12" i="4"/>
  <c r="R11" i="4"/>
  <c r="R9" i="4"/>
  <c r="R18" i="4" l="1"/>
  <c r="U28" i="4"/>
  <c r="U24" i="4"/>
  <c r="U31" i="4"/>
  <c r="U27" i="4"/>
  <c r="U23" i="4"/>
  <c r="U30" i="4"/>
  <c r="U26" i="4"/>
  <c r="U22" i="4"/>
  <c r="U29" i="4"/>
  <c r="U25" i="4"/>
  <c r="T32" i="4"/>
  <c r="S17" i="4"/>
  <c r="S13" i="4"/>
  <c r="S9" i="4"/>
  <c r="S16" i="4"/>
  <c r="S12" i="4"/>
  <c r="S15" i="4"/>
  <c r="S11" i="4"/>
  <c r="S14" i="4"/>
  <c r="S10" i="4"/>
  <c r="S8" i="4"/>
  <c r="T7" i="4"/>
  <c r="T16" i="4" l="1"/>
  <c r="T12" i="4"/>
  <c r="T15" i="4"/>
  <c r="T11" i="4"/>
  <c r="T17" i="4"/>
  <c r="T13" i="4"/>
  <c r="T9" i="4"/>
  <c r="T14" i="4"/>
  <c r="T10" i="4"/>
  <c r="T8" i="4"/>
  <c r="U7" i="4"/>
  <c r="S18" i="4"/>
  <c r="U32" i="4"/>
  <c r="U15" i="4" l="1"/>
  <c r="U11" i="4"/>
  <c r="U14" i="4"/>
  <c r="U10" i="4"/>
  <c r="U17" i="4"/>
  <c r="U16" i="4"/>
  <c r="U12" i="4"/>
  <c r="U9" i="4"/>
  <c r="U8" i="4"/>
  <c r="U13" i="4"/>
  <c r="T18" i="4"/>
  <c r="U18" i="4" l="1"/>
</calcChain>
</file>

<file path=xl/comments1.xml><?xml version="1.0" encoding="utf-8"?>
<comments xmlns="http://schemas.openxmlformats.org/spreadsheetml/2006/main">
  <authors>
    <author>John Fetrow VMD, MBA</author>
    <author>John Fetrow</author>
  </authors>
  <commentList>
    <comment ref="C5" authorId="0">
      <text>
        <r>
          <rPr>
            <b/>
            <sz val="8"/>
            <color indexed="81"/>
            <rFont val="Tahoma"/>
            <family val="2"/>
          </rPr>
          <t xml:space="preserve">Dies ist eine grobe Schätzung des  Verlustes in der Produktion aufgrund subklinischer Infektionen und beruht auf der durchschnittlichen Zellzahl der Herde (aufgerundet zu 50.000). Eine genauere Schätzung kann gemacht werden, wenn mastitisecon.xls mit individuellen Daten bestückt wird. </t>
        </r>
        <r>
          <rPr>
            <sz val="8"/>
            <color indexed="81"/>
            <rFont val="Tahoma"/>
            <family val="2"/>
          </rPr>
          <t xml:space="preserve">
</t>
        </r>
      </text>
    </comment>
    <comment ref="B13" authorId="0">
      <text>
        <r>
          <rPr>
            <b/>
            <sz val="8"/>
            <color indexed="81"/>
            <rFont val="Tahoma"/>
            <family val="2"/>
          </rPr>
          <t>normalerweise &lt; 2% pro Monat</t>
        </r>
      </text>
    </comment>
    <comment ref="F13" authorId="0">
      <text>
        <r>
          <rPr>
            <b/>
            <sz val="8"/>
            <color indexed="81"/>
            <rFont val="Tahoma"/>
            <family val="2"/>
          </rPr>
          <t>normalerweise &lt; 2% pro Jahr</t>
        </r>
      </text>
    </comment>
    <comment ref="F15" authorId="0">
      <text>
        <r>
          <rPr>
            <b/>
            <sz val="8"/>
            <color indexed="81"/>
            <rFont val="Tahoma"/>
            <family val="2"/>
          </rPr>
          <t>normalerweise &lt; 5% pro Jahr</t>
        </r>
      </text>
    </comment>
    <comment ref="I29" authorId="0">
      <text>
        <r>
          <rPr>
            <b/>
            <sz val="8"/>
            <color indexed="81"/>
            <rFont val="Tahoma"/>
            <family val="2"/>
          </rPr>
          <t xml:space="preserve">This is the cost of feeding and </t>
        </r>
        <r>
          <rPr>
            <sz val="8"/>
            <color indexed="81"/>
            <rFont val="Tahoma"/>
            <family val="2"/>
          </rPr>
          <t>care for the new replacement heifer from the time she is purchased until she calves, i.e. the extra expenses beyond her purchase price that it takes to bring her into the milking herd.</t>
        </r>
      </text>
    </comment>
    <comment ref="I30" authorId="1">
      <text>
        <r>
          <rPr>
            <b/>
            <sz val="8"/>
            <color indexed="81"/>
            <rFont val="Tahoma"/>
            <family val="2"/>
          </rPr>
          <t>This calculation assumes a marginal cost of feed at $3.00 per cwt</t>
        </r>
      </text>
    </comment>
    <comment ref="C38" authorId="0">
      <text>
        <r>
          <rPr>
            <b/>
            <sz val="8"/>
            <color indexed="81"/>
            <rFont val="Tahoma"/>
            <family val="2"/>
          </rPr>
          <t>One approach to this is to estimate that milk drops to 2/3 of normal production in cool cases and 1/2 of normal production in hot clinical cases.</t>
        </r>
      </text>
    </comment>
    <comment ref="C39" authorId="0">
      <text>
        <r>
          <rPr>
            <b/>
            <sz val="8"/>
            <color indexed="81"/>
            <rFont val="Tahoma"/>
            <family val="2"/>
          </rPr>
          <t>The literature is limited, but a reasonable estimate of these numbers is 6 days for cool clinical and 14 days for hot clinical cases.</t>
        </r>
        <r>
          <rPr>
            <sz val="8"/>
            <color indexed="81"/>
            <rFont val="Tahoma"/>
            <family val="2"/>
          </rPr>
          <t xml:space="preserve">
</t>
        </r>
      </text>
    </comment>
    <comment ref="C40" authorId="0">
      <text>
        <r>
          <rPr>
            <b/>
            <sz val="8"/>
            <color indexed="81"/>
            <rFont val="Tahoma"/>
            <family val="2"/>
          </rPr>
          <t>If milk is poured down the drain, this should be zero.  If all discard milk is fed to calves, it might have a value, e.g. $6.00 / cwt.</t>
        </r>
      </text>
    </comment>
    <comment ref="C44" authorId="0">
      <text>
        <r>
          <rPr>
            <b/>
            <sz val="8"/>
            <color indexed="81"/>
            <rFont val="Tahoma"/>
            <family val="2"/>
          </rPr>
          <t>This is the estimated amount of the cow's actual total 305 production that is lost during the discard and acute phase of the clinical case.</t>
        </r>
      </text>
    </comment>
    <comment ref="C45" authorId="0">
      <text>
        <r>
          <rPr>
            <b/>
            <sz val="8"/>
            <color indexed="81"/>
            <rFont val="Tahoma"/>
            <family val="2"/>
          </rPr>
          <t>This is the value of the milk lost during the discard and acute phase.</t>
        </r>
      </text>
    </comment>
  </commentList>
</comments>
</file>

<file path=xl/comments2.xml><?xml version="1.0" encoding="utf-8"?>
<comments xmlns="http://schemas.openxmlformats.org/spreadsheetml/2006/main">
  <authors>
    <author>John Fetrow VMD, MBA</author>
    <author>John Fetrow</author>
  </authors>
  <commentList>
    <comment ref="C5" authorId="0">
      <text>
        <r>
          <rPr>
            <b/>
            <sz val="8"/>
            <color indexed="81"/>
            <rFont val="Tahoma"/>
            <family val="2"/>
          </rPr>
          <t>This is a rough estimate of the loss in production due to subclinical infection and is based on the herd's average somatic cell count rounded to the nearests 50,000.  A more precise estimate can be made using mastitisecon.xls, provided the data are available.</t>
        </r>
        <r>
          <rPr>
            <sz val="8"/>
            <color indexed="81"/>
            <rFont val="Tahoma"/>
            <family val="2"/>
          </rPr>
          <t xml:space="preserve">
</t>
        </r>
      </text>
    </comment>
    <comment ref="B13" authorId="0">
      <text>
        <r>
          <rPr>
            <b/>
            <sz val="8"/>
            <color indexed="81"/>
            <rFont val="Tahoma"/>
            <family val="2"/>
          </rPr>
          <t>typically less than 2% per month</t>
        </r>
        <r>
          <rPr>
            <sz val="8"/>
            <color indexed="81"/>
            <rFont val="Tahoma"/>
            <family val="2"/>
          </rPr>
          <t xml:space="preserve">
</t>
        </r>
      </text>
    </comment>
    <comment ref="F13" authorId="0">
      <text>
        <r>
          <rPr>
            <b/>
            <sz val="8"/>
            <color indexed="81"/>
            <rFont val="Tahoma"/>
            <family val="2"/>
          </rPr>
          <t>typically less than 2% per year</t>
        </r>
        <r>
          <rPr>
            <sz val="8"/>
            <color indexed="81"/>
            <rFont val="Tahoma"/>
            <family val="2"/>
          </rPr>
          <t xml:space="preserve">
</t>
        </r>
      </text>
    </comment>
    <comment ref="F15" authorId="0">
      <text>
        <r>
          <rPr>
            <b/>
            <sz val="8"/>
            <color indexed="81"/>
            <rFont val="Tahoma"/>
            <family val="2"/>
          </rPr>
          <t>typically less than 5% per year</t>
        </r>
      </text>
    </comment>
    <comment ref="I23" authorId="0">
      <text>
        <r>
          <rPr>
            <b/>
            <sz val="8"/>
            <color indexed="81"/>
            <rFont val="Tahoma"/>
            <family val="2"/>
          </rPr>
          <t>This estimate assumes a straight line depreciation over the cow's lifetime</t>
        </r>
        <r>
          <rPr>
            <sz val="8"/>
            <color indexed="81"/>
            <rFont val="Tahoma"/>
            <family val="2"/>
          </rPr>
          <t xml:space="preserve">
</t>
        </r>
      </text>
    </comment>
    <comment ref="I29" authorId="0">
      <text>
        <r>
          <rPr>
            <b/>
            <sz val="8"/>
            <color indexed="81"/>
            <rFont val="Tahoma"/>
            <family val="2"/>
          </rPr>
          <t xml:space="preserve">This is the cost of feeding and </t>
        </r>
        <r>
          <rPr>
            <sz val="8"/>
            <color indexed="81"/>
            <rFont val="Tahoma"/>
            <family val="2"/>
          </rPr>
          <t>care for the new replacement heifer from the time she is purchased until she calves, i.e. the extra expenses beyond her purchase price that it takes to bring her into the milking herd.</t>
        </r>
      </text>
    </comment>
    <comment ref="I30" authorId="1">
      <text>
        <r>
          <rPr>
            <b/>
            <sz val="8"/>
            <color indexed="81"/>
            <rFont val="Tahoma"/>
            <family val="2"/>
          </rPr>
          <t>This calculation assumes a marginal cost of feed at $3.00 per cwt</t>
        </r>
      </text>
    </comment>
    <comment ref="C38" authorId="0">
      <text>
        <r>
          <rPr>
            <b/>
            <sz val="8"/>
            <color indexed="81"/>
            <rFont val="Tahoma"/>
            <family val="2"/>
          </rPr>
          <t>One approach to this is to estimate that milk drops to 2/3 of normal production in cool cases and 1/2 of normal production in hot clinical cases.</t>
        </r>
      </text>
    </comment>
    <comment ref="C39" authorId="0">
      <text>
        <r>
          <rPr>
            <b/>
            <sz val="8"/>
            <color indexed="81"/>
            <rFont val="Tahoma"/>
            <family val="2"/>
          </rPr>
          <t>The literature is limited, but a reasonable estimate of these numbers is 6 days for cool clinical and 14 days for hot clinical cases.</t>
        </r>
        <r>
          <rPr>
            <sz val="8"/>
            <color indexed="81"/>
            <rFont val="Tahoma"/>
            <family val="2"/>
          </rPr>
          <t xml:space="preserve">
</t>
        </r>
      </text>
    </comment>
    <comment ref="C40" authorId="0">
      <text>
        <r>
          <rPr>
            <b/>
            <sz val="8"/>
            <color indexed="81"/>
            <rFont val="Tahoma"/>
            <family val="2"/>
          </rPr>
          <t>If milk is poured down the drain, this should be zero.  If all discard milk is fed to calves, it might have a value, e.g. $6.00 / cwt.</t>
        </r>
      </text>
    </comment>
    <comment ref="C44" authorId="0">
      <text>
        <r>
          <rPr>
            <b/>
            <sz val="8"/>
            <color indexed="81"/>
            <rFont val="Tahoma"/>
            <family val="2"/>
          </rPr>
          <t>This is the estimated amount of the cow's actual total 305 production that is lost during the discard and acute phase of the clinical case.</t>
        </r>
      </text>
    </comment>
    <comment ref="C45" authorId="0">
      <text>
        <r>
          <rPr>
            <b/>
            <sz val="8"/>
            <color indexed="81"/>
            <rFont val="Tahoma"/>
            <family val="2"/>
          </rPr>
          <t>This is the value of the milk lost during the discard and acute phase.</t>
        </r>
      </text>
    </comment>
  </commentList>
</comments>
</file>

<file path=xl/sharedStrings.xml><?xml version="1.0" encoding="utf-8"?>
<sst xmlns="http://schemas.openxmlformats.org/spreadsheetml/2006/main" count="234" uniqueCount="202">
  <si>
    <t>Milchleistung, kg/Kuh/d</t>
  </si>
  <si>
    <t>Milchfett, %</t>
  </si>
  <si>
    <t>Fett kg, kg/Kuh/d</t>
  </si>
  <si>
    <t>Eiweiß, %</t>
  </si>
  <si>
    <t>Eiweiß kg, kg/Kuh/d</t>
  </si>
  <si>
    <t>Milchpreis:</t>
  </si>
  <si>
    <t>NEBENRECHNUNG</t>
  </si>
  <si>
    <t>Milchauszahlungspreis</t>
  </si>
  <si>
    <t>Basispreis</t>
  </si>
  <si>
    <t>Auszahl. Netto</t>
  </si>
  <si>
    <t>Milcheinnahme, €/Kuh/d</t>
  </si>
  <si>
    <t>Molkerei 1</t>
  </si>
  <si>
    <t>Molkerei 2</t>
  </si>
  <si>
    <t>Zellzahlen</t>
  </si>
  <si>
    <t>Fettkorrektur</t>
  </si>
  <si>
    <t>Eiweißkorrektur</t>
  </si>
  <si>
    <t>HW</t>
  </si>
  <si>
    <t>Oberfranken</t>
  </si>
  <si>
    <t>Schwälbchen</t>
  </si>
  <si>
    <t>Molkerei 3</t>
  </si>
  <si>
    <t>Mengenstaffel</t>
  </si>
  <si>
    <t>Molkerei 4</t>
  </si>
  <si>
    <t>Arla</t>
  </si>
  <si>
    <t>Eiweißeinheit, Ct/ EE</t>
  </si>
  <si>
    <t>Fetteinheit, Ct/ FE</t>
  </si>
  <si>
    <t>andere wertbestimmende Faktoren</t>
  </si>
  <si>
    <t>Grundpreis(4,0,3,4%); €/kg</t>
  </si>
  <si>
    <t>ECM kg/Kuh</t>
  </si>
  <si>
    <t>Lactose, Fremdwasser, FFTM,…</t>
  </si>
  <si>
    <t>S Klasse</t>
  </si>
  <si>
    <t>klinische</t>
  </si>
  <si>
    <t>Verluste aufgrund klinischer Euterentzündungen</t>
  </si>
  <si>
    <t>Produktion</t>
  </si>
  <si>
    <t>Milchgeldverluste aufgrund subklinischer Mastitis</t>
  </si>
  <si>
    <t>S-Klasse</t>
  </si>
  <si>
    <t>Verluste durch S-Klasse-Verlust</t>
  </si>
  <si>
    <t>Gesamtverluste aufgrund Totalverlusten und vorzeitiger Merzung</t>
  </si>
  <si>
    <t>Gesamtverluste pro Jahr oberhalb der Zielvorgabe</t>
  </si>
  <si>
    <t>Gesamtverluste pro Kuh oberhalb der Zielvorgabe</t>
  </si>
  <si>
    <t>Zielvorgabe für Mastitis in der Herde</t>
  </si>
  <si>
    <t>durchschnittliche Zellzahl der Herde</t>
  </si>
  <si>
    <t>Totalverlust wg. Mastitis (Kühe/Jahr)</t>
  </si>
  <si>
    <t>klin. Mastitisfälle pro Monat (% d. Herde)</t>
  </si>
  <si>
    <t>Totalverluste durch Mastitis</t>
  </si>
  <si>
    <t>Kuhabgänge wg. Mastitis (Kuhe/Jahr)</t>
  </si>
  <si>
    <t>vorzeitige Abgänge wg. Mastitis</t>
  </si>
  <si>
    <t>Herdenübersicht</t>
  </si>
  <si>
    <t>Färsen in Milch</t>
  </si>
  <si>
    <t>Milchpreis/kg bei aktuellem Zellzahlgehalt</t>
  </si>
  <si>
    <t>Kühe in Milch</t>
  </si>
  <si>
    <t>difference in milk price per cwt between actual SCC and goal SCC</t>
  </si>
  <si>
    <t>Durchschnitt melkende Tiere</t>
  </si>
  <si>
    <t>labor cost per hour</t>
  </si>
  <si>
    <t>Durchschnitt Trockensteher</t>
  </si>
  <si>
    <t>Herdengröße (Milch und trocken)</t>
  </si>
  <si>
    <t>cost of a new, springing heifer</t>
  </si>
  <si>
    <t>Melkschnitt/Kuh und Tag (nur melkende Kühe)</t>
  </si>
  <si>
    <t>value of culled cow for beef</t>
  </si>
  <si>
    <t>Zellzahl</t>
  </si>
  <si>
    <t>klin. Mastitisfälle pro Monat</t>
  </si>
  <si>
    <t>Anzahl klin. Mastitis Kühe pro Monat</t>
  </si>
  <si>
    <t>average value of a cow in the herd</t>
  </si>
  <si>
    <t>klin. Mastitisfälle pro Jahr</t>
  </si>
  <si>
    <t>cost of disposal for a dead cow</t>
  </si>
  <si>
    <t>Totalverluste wg. Mastitis (Kühe/Jahr)</t>
  </si>
  <si>
    <t>Prozent jährliche Mortalität aufgrund Mastitis</t>
  </si>
  <si>
    <t>days between the cull cow leaving and a replacement milking on the dairy</t>
  </si>
  <si>
    <t>cost of care for replacement animal pre-calving</t>
  </si>
  <si>
    <t>cost of delay in filling the vacated slot</t>
  </si>
  <si>
    <t>Eigenschaften einer klinischen Mastitis</t>
  </si>
  <si>
    <t>klin. heiß</t>
  </si>
  <si>
    <t>Anteil aller klinischen Fälle</t>
  </si>
  <si>
    <t>TA und Medikamente für die Behandlung/Fall</t>
  </si>
  <si>
    <t>Behandlungstage</t>
  </si>
  <si>
    <t>Hemmstoffmilch für ...... Tage nach der letzten Behandlung</t>
  </si>
  <si>
    <t>durchschnittl. Milchleistung in der akuten Krankheitsphase</t>
  </si>
  <si>
    <t>Tage bis zur Genesung (normale Produktion)</t>
  </si>
  <si>
    <t>Wert der Hemmstoffmilch</t>
  </si>
  <si>
    <t>kg Hemmstoffmilch</t>
  </si>
  <si>
    <t>kg Milchleistungsverlust (ohne Hemmstoffmilch)</t>
  </si>
  <si>
    <t>gesamte Milchverluste durch klin. Mastitis</t>
  </si>
  <si>
    <t>pounds milk loss to excess SCC in heifers per day</t>
  </si>
  <si>
    <t>pounds milk loss to excess SCC in cows per day</t>
  </si>
  <si>
    <t>pounds milk lost per day in excess of the desired level</t>
  </si>
  <si>
    <t>Characterization of the costs of culling and death</t>
  </si>
  <si>
    <t>cost of excess culling due to mastitis per year</t>
  </si>
  <si>
    <t>excess cows culled per year</t>
  </si>
  <si>
    <t>cost per excess cull</t>
  </si>
  <si>
    <t>cost of excess deaths due to mastitis per year</t>
  </si>
  <si>
    <t>excess cows dead per year</t>
  </si>
  <si>
    <t>cost per excess dead cow</t>
  </si>
  <si>
    <t>Milchmann</t>
  </si>
  <si>
    <t>Qualitätszuschlag für unter 250.000 ZZ</t>
  </si>
  <si>
    <t>Stundenlohn/Akh</t>
  </si>
  <si>
    <t>Kosten Zukauffärse</t>
  </si>
  <si>
    <t>Schlachtkuh</t>
  </si>
  <si>
    <t>durchschnittlicher Wert Kühe in der Herde</t>
  </si>
  <si>
    <t>Entsorgungskosten tote Kuh</t>
  </si>
  <si>
    <t>Tage zwischen Kuhabgang und Ergänzung durch neue Färse/Kuh</t>
  </si>
  <si>
    <t>Betreuungskosten Färsen und Kühe ap</t>
  </si>
  <si>
    <t>Kosten leerer Stallplatz</t>
  </si>
  <si>
    <t>kg Milch</t>
  </si>
  <si>
    <t>Pfund Milchverlust/d durch Überschreiten des Zielwertes ZZ</t>
  </si>
  <si>
    <t>Merzung/ Verlust</t>
  </si>
  <si>
    <t>klin. kalt</t>
  </si>
  <si>
    <t>Annual losses due to mastitis above a desirable baseline level</t>
  </si>
  <si>
    <t>copyright 2004, John Fetrow VMD, MBA</t>
  </si>
  <si>
    <t>version 14JAN2004</t>
  </si>
  <si>
    <t>Example Dairy</t>
  </si>
  <si>
    <r>
      <t xml:space="preserve">make entries </t>
    </r>
    <r>
      <rPr>
        <b/>
        <i/>
        <u/>
        <sz val="12"/>
        <rFont val="Times New Roman"/>
        <family val="1"/>
      </rPr>
      <t>only</t>
    </r>
    <r>
      <rPr>
        <b/>
        <i/>
        <sz val="12"/>
        <rFont val="Times New Roman"/>
        <family val="1"/>
      </rPr>
      <t xml:space="preserve"> in yellow cells</t>
    </r>
  </si>
  <si>
    <t>College of Veterinary Medicine, University of Minnesota</t>
  </si>
  <si>
    <t>clinical</t>
  </si>
  <si>
    <t>losses due to excess clinical mastitis</t>
  </si>
  <si>
    <t>production</t>
  </si>
  <si>
    <t>dollars of milk lost per year due to subclinical mastitis' effect on production</t>
  </si>
  <si>
    <t>premiums</t>
  </si>
  <si>
    <t>losses due to lost premium income</t>
  </si>
  <si>
    <t>culls/deaths</t>
  </si>
  <si>
    <t>losses due to excess culling and death</t>
  </si>
  <si>
    <t>total losses per year above the desired baseline</t>
  </si>
  <si>
    <t>losses per cow per year above the desired baseline</t>
  </si>
  <si>
    <t>Desired level of mastitis in the herd (goals)</t>
  </si>
  <si>
    <t>herd somatic cell count</t>
  </si>
  <si>
    <t>deaths from mastitis (cows per year)</t>
  </si>
  <si>
    <t>clinical cases per month (% of herd)</t>
  </si>
  <si>
    <t>percent death from mastitis</t>
  </si>
  <si>
    <t>culls from mastitis (cows per year)</t>
  </si>
  <si>
    <t>percent culls due to mastitis</t>
  </si>
  <si>
    <t>Herd description</t>
  </si>
  <si>
    <t>number of heifers milking</t>
  </si>
  <si>
    <t>price of milk per cwt (at present SCC)</t>
  </si>
  <si>
    <t>number of cows milking</t>
  </si>
  <si>
    <t>total average number of milking animals</t>
  </si>
  <si>
    <t>average number of dry cows</t>
  </si>
  <si>
    <t>herd size (milking and dry)</t>
  </si>
  <si>
    <t>average milk production per cow per day (per milking cow)</t>
  </si>
  <si>
    <t>average annual somatic cell count</t>
  </si>
  <si>
    <t>actual clinical cases per month (% of milking cows)</t>
  </si>
  <si>
    <t>number of clinical mastitis cases per month</t>
  </si>
  <si>
    <t>excess cases per year of clinical mastitis</t>
  </si>
  <si>
    <t>actual deaths from mastitis (cows per year)</t>
  </si>
  <si>
    <t>percent annual death rate due to mastitis</t>
  </si>
  <si>
    <t>actual culls from mastitis (cows per year)</t>
  </si>
  <si>
    <t>percent annual cull rate due to mastitis</t>
  </si>
  <si>
    <t>Characteristics of a clinical case of mastitis</t>
  </si>
  <si>
    <t>cool clinical</t>
  </si>
  <si>
    <t>hot clinical</t>
  </si>
  <si>
    <t>proportion of all clinical cases</t>
  </si>
  <si>
    <t>cost for drugs, etc. to treat the case</t>
  </si>
  <si>
    <t>days of treatment</t>
  </si>
  <si>
    <t>days of withholding after last treatment</t>
  </si>
  <si>
    <t>average milk per day in the acute phase of mastitis</t>
  </si>
  <si>
    <t>days to return to near-normal production</t>
  </si>
  <si>
    <r>
      <t xml:space="preserve">value of milk/cwt for discard </t>
    </r>
    <r>
      <rPr>
        <sz val="8"/>
        <rFont val="Times New Roman"/>
        <family val="1"/>
      </rPr>
      <t>(allows adjustment for calf feeding)</t>
    </r>
  </si>
  <si>
    <t>lbs milk discarded for drug withdrawal</t>
  </si>
  <si>
    <t>lbs milk lost after discard and until return to normal</t>
  </si>
  <si>
    <t>total milk production loss in clinical phases</t>
  </si>
  <si>
    <t>percent of average 305-day production</t>
  </si>
  <si>
    <t xml:space="preserve">value of milk production loss </t>
  </si>
  <si>
    <t>hours of labor in treatment, segregation, care, milking</t>
  </si>
  <si>
    <t>labor costs</t>
  </si>
  <si>
    <t>other veterinary, culture, etc. expenses per case</t>
  </si>
  <si>
    <t>direct costs per case</t>
  </si>
  <si>
    <t>cost of an "average" case of clinical mastitis</t>
  </si>
  <si>
    <t>Characterization of the subclinical production losses</t>
  </si>
  <si>
    <t>Eingabe nur in gelben Zellen!!</t>
  </si>
  <si>
    <t xml:space="preserve">Prozent der durchschnittlichen 305 Tage Produktion </t>
  </si>
  <si>
    <t>Wert des Milchproduktionsverlustes</t>
  </si>
  <si>
    <t>zusätzliche Arbeitszeit (Behandlung, Kannenmelken….)</t>
  </si>
  <si>
    <t>Arbeitslohn pro Std</t>
  </si>
  <si>
    <t>Untersuchungskosten, Tierarztkosten/Fall</t>
  </si>
  <si>
    <t>direkte Kosten pro Mastitisfall</t>
  </si>
  <si>
    <t>Kosten eines "durchschnittlichen Mastitisfalls"</t>
  </si>
  <si>
    <t>Jährlische Verluste wegen Mastitis oberhalb der tolerierbaren Zielwerte</t>
  </si>
  <si>
    <t>Crude estimates of prevalence by LGSCC by herd SCC for heifers and older cows</t>
  </si>
  <si>
    <t>goal SCC</t>
  </si>
  <si>
    <t>actual SCC</t>
  </si>
  <si>
    <t>better estimates can be developed using the spreadsheet mastitisecon.xls</t>
  </si>
  <si>
    <t>herd size milking</t>
  </si>
  <si>
    <t>estimated</t>
  </si>
  <si>
    <t>2nd and older cows</t>
  </si>
  <si>
    <t>loss</t>
  </si>
  <si>
    <t>difference</t>
  </si>
  <si>
    <t>goal</t>
  </si>
  <si>
    <t>actual</t>
  </si>
  <si>
    <t>LGSCC</t>
  </si>
  <si>
    <t>at 180</t>
  </si>
  <si>
    <t>at 400</t>
  </si>
  <si>
    <t>slope</t>
  </si>
  <si>
    <t>heifers</t>
  </si>
  <si>
    <t>Start</t>
  </si>
  <si>
    <t>Änderung</t>
  </si>
  <si>
    <t>min</t>
  </si>
  <si>
    <t>max</t>
  </si>
  <si>
    <t>Milchpreis bei geg. Inhalts.*,o MwSt</t>
  </si>
  <si>
    <t>Auszahlung incl MwSt*</t>
  </si>
  <si>
    <t>* ohne Qualität, Staffel o.ä.</t>
  </si>
  <si>
    <t>Bei der Berechnung für den Milchauszahlungspreis sind NUR die Inhalststoffbewertungen berücksichtigt. Keine Qualität, Staffel, Stoppgeld, Boni, Nachzahlung…o.ä.</t>
  </si>
  <si>
    <t>Mit dieser einfachen Tabelle wollen wir nur darauf hinweisen, dass ein genauerer Blick sich lohnt!</t>
  </si>
  <si>
    <r>
      <rPr>
        <b/>
        <sz val="11"/>
        <color theme="1"/>
        <rFont val="Calibri"/>
        <family val="2"/>
        <scheme val="minor"/>
      </rPr>
      <t>Anmerkung</t>
    </r>
    <r>
      <rPr>
        <sz val="11"/>
        <color theme="1"/>
        <rFont val="Calibri"/>
        <family val="2"/>
        <scheme val="minor"/>
      </rPr>
      <t>: im Beispiel sind nur die Inhaltsstoffe leicht geändert, Milch kg/Kuh und Milchgrundpreis ist gleich geblieben….</t>
    </r>
  </si>
  <si>
    <r>
      <t>Unter dem Tabellenblatt "</t>
    </r>
    <r>
      <rPr>
        <b/>
        <sz val="11"/>
        <color theme="1"/>
        <rFont val="Calibri"/>
        <family val="2"/>
        <scheme val="minor"/>
      </rPr>
      <t>ZZ Verluste</t>
    </r>
    <r>
      <rPr>
        <sz val="11"/>
        <color theme="1"/>
        <rFont val="Calibri"/>
        <family val="2"/>
        <scheme val="minor"/>
      </rPr>
      <t>" verbirgt isch ein Excelsheet aus der Feder von Dr. John Fetrow, das wir übersetzt und angepasst haben</t>
    </r>
  </si>
  <si>
    <t>Unter Mastitis Loss und Loss estimates ist das US amerikanische Original zu finden….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</si>
</sst>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4" formatCode="_-* #,##0.00\ &quot;€&quot;_-;\-* #,##0.00\ &quot;€&quot;_-;_-* &quot;-&quot;??\ &quot;€&quot;_-;_-@_-"/>
    <numFmt numFmtId="43" formatCode="_-* #,##0.00\ _€_-;\-* #,##0.00\ _€_-;_-* &quot;-&quot;??\ _€_-;_-@_-"/>
    <numFmt numFmtId="164" formatCode="0.0%"/>
    <numFmt numFmtId="165" formatCode="_(* #,##0_);_(* \(#,##0\);_(* &quot;-&quot;??_);_(@_)"/>
    <numFmt numFmtId="166" formatCode="_(&quot;$&quot;* #,##0.00_);_(&quot;$&quot;* \(#,##0.00\);_(&quot;$&quot;* &quot;-&quot;??_);_(@_)"/>
    <numFmt numFmtId="167" formatCode="_(&quot;$&quot;* #,##0_);_(&quot;$&quot;* \(#,##0\);_(&quot;$&quot;* &quot;-&quot;??_);_(@_)"/>
    <numFmt numFmtId="168" formatCode="_(* #,##0.0_);_(* \(#,##0.0\);_(* &quot;-&quot;??_);_(@_)"/>
    <numFmt numFmtId="169" formatCode="_(* #,##0.000000_);_(* \(#,##0.000000\);_(* &quot;-&quot;??_);_(@_)"/>
  </numFmts>
  <fonts count="23" x14ac:knownFonts="1">
    <font>
      <sz val="11"/>
      <color theme="1"/>
      <name val="Calibri"/>
      <family val="2"/>
      <scheme val="minor"/>
    </font>
    <font>
      <b/>
      <sz val="11"/>
      <color theme="1"/>
      <name val="Calibri"/>
      <family val="2"/>
      <scheme val="minor"/>
    </font>
    <font>
      <b/>
      <sz val="10"/>
      <name val="Arial"/>
      <family val="2"/>
    </font>
    <font>
      <sz val="10"/>
      <name val="Arial"/>
    </font>
    <font>
      <sz val="10"/>
      <name val="Arial"/>
      <family val="2"/>
    </font>
    <font>
      <b/>
      <i/>
      <sz val="11"/>
      <color theme="1"/>
      <name val="Calibri"/>
      <family val="2"/>
      <scheme val="minor"/>
    </font>
    <font>
      <i/>
      <sz val="11"/>
      <color theme="1"/>
      <name val="Calibri"/>
      <family val="2"/>
      <scheme val="minor"/>
    </font>
    <font>
      <sz val="11"/>
      <color theme="0" tint="-0.499984740745262"/>
      <name val="Calibri"/>
      <family val="2"/>
      <scheme val="minor"/>
    </font>
    <font>
      <b/>
      <sz val="11"/>
      <color rgb="FF0000FF"/>
      <name val="Calibri"/>
      <family val="2"/>
      <scheme val="minor"/>
    </font>
    <font>
      <sz val="11"/>
      <color theme="1"/>
      <name val="Calibri"/>
      <family val="2"/>
      <scheme val="minor"/>
    </font>
    <font>
      <b/>
      <sz val="14"/>
      <name val="Times New Roman"/>
      <family val="1"/>
    </font>
    <font>
      <b/>
      <sz val="10"/>
      <name val="Times New Roman"/>
      <family val="1"/>
    </font>
    <font>
      <b/>
      <i/>
      <sz val="12"/>
      <name val="Times New Roman"/>
      <family val="1"/>
    </font>
    <font>
      <b/>
      <sz val="12"/>
      <name val="Times New Roman"/>
      <family val="1"/>
    </font>
    <font>
      <sz val="12"/>
      <name val="Times New Roman"/>
      <family val="1"/>
    </font>
    <font>
      <b/>
      <sz val="8"/>
      <name val="Times New Roman"/>
      <family val="1"/>
    </font>
    <font>
      <b/>
      <i/>
      <u/>
      <sz val="12"/>
      <name val="Times New Roman"/>
      <family val="1"/>
    </font>
    <font>
      <sz val="8"/>
      <name val="Times New Roman"/>
      <family val="1"/>
    </font>
    <font>
      <b/>
      <sz val="8"/>
      <color indexed="81"/>
      <name val="Tahoma"/>
      <family val="2"/>
    </font>
    <font>
      <sz val="8"/>
      <color indexed="81"/>
      <name val="Tahoma"/>
      <family val="2"/>
    </font>
    <font>
      <sz val="14"/>
      <color theme="1"/>
      <name val="Calibri"/>
      <family val="2"/>
      <scheme val="minor"/>
    </font>
    <font>
      <b/>
      <sz val="9"/>
      <name val="Times New Roman"/>
      <family val="1"/>
    </font>
    <font>
      <b/>
      <sz val="11"/>
      <color theme="0" tint="-0.499984740745262"/>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1"/>
        <bgColor indexed="64"/>
      </patternFill>
    </fill>
    <fill>
      <patternFill patternType="solid">
        <fgColor theme="4" tint="0.79998168889431442"/>
        <bgColor indexed="64"/>
      </patternFill>
    </fill>
    <fill>
      <patternFill patternType="solid">
        <fgColor theme="9" tint="0.59999389629810485"/>
        <bgColor indexed="64"/>
      </patternFill>
    </fill>
  </fills>
  <borders count="18">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6">
    <xf numFmtId="0" fontId="0" fillId="0" borderId="0"/>
    <xf numFmtId="44" fontId="3" fillId="0" borderId="0" applyFont="0" applyFill="0" applyBorder="0" applyAlignment="0" applyProtection="0"/>
    <xf numFmtId="0" fontId="3"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234">
    <xf numFmtId="0" fontId="0" fillId="0" borderId="0" xfId="0"/>
    <xf numFmtId="0" fontId="0" fillId="0" borderId="1" xfId="0" applyBorder="1"/>
    <xf numFmtId="2" fontId="0" fillId="2" borderId="1" xfId="0" applyNumberFormat="1" applyFill="1" applyBorder="1" applyAlignment="1">
      <alignment horizontal="center"/>
    </xf>
    <xf numFmtId="2" fontId="0" fillId="2" borderId="0" xfId="0" applyNumberFormat="1" applyFill="1" applyBorder="1" applyAlignment="1">
      <alignment horizontal="center"/>
    </xf>
    <xf numFmtId="0" fontId="0" fillId="3" borderId="0" xfId="0" applyFill="1"/>
    <xf numFmtId="2" fontId="0" fillId="3" borderId="0" xfId="0" applyNumberFormat="1" applyFill="1"/>
    <xf numFmtId="164" fontId="0" fillId="0" borderId="0" xfId="0" applyNumberFormat="1"/>
    <xf numFmtId="0" fontId="2" fillId="0" borderId="0" xfId="0" applyFont="1"/>
    <xf numFmtId="2" fontId="2" fillId="3" borderId="0" xfId="0" applyNumberFormat="1" applyFont="1" applyFill="1"/>
    <xf numFmtId="2" fontId="0" fillId="0" borderId="0" xfId="0" applyNumberFormat="1" applyFill="1" applyBorder="1" applyAlignment="1">
      <alignment horizontal="center"/>
    </xf>
    <xf numFmtId="0" fontId="0" fillId="0" borderId="0" xfId="0" applyFill="1" applyBorder="1"/>
    <xf numFmtId="0" fontId="2" fillId="0" borderId="0" xfId="0" applyFont="1" applyFill="1" applyBorder="1"/>
    <xf numFmtId="0" fontId="0" fillId="0" borderId="0" xfId="0" applyFill="1" applyBorder="1" applyAlignment="1">
      <alignment horizontal="center"/>
    </xf>
    <xf numFmtId="0" fontId="0" fillId="0" borderId="0" xfId="0"/>
    <xf numFmtId="0" fontId="0" fillId="0" borderId="1" xfId="0" applyBorder="1"/>
    <xf numFmtId="2" fontId="0" fillId="2" borderId="1" xfId="0" applyNumberFormat="1" applyFill="1" applyBorder="1" applyAlignment="1">
      <alignment horizontal="center"/>
    </xf>
    <xf numFmtId="2" fontId="0" fillId="2" borderId="0" xfId="0" applyNumberFormat="1" applyFill="1" applyBorder="1" applyAlignment="1">
      <alignment horizontal="center"/>
    </xf>
    <xf numFmtId="0" fontId="0" fillId="3" borderId="0" xfId="0" applyFill="1"/>
    <xf numFmtId="2" fontId="0" fillId="3" borderId="0" xfId="0" applyNumberFormat="1" applyFill="1"/>
    <xf numFmtId="2" fontId="2" fillId="3" borderId="0" xfId="0" applyNumberFormat="1" applyFont="1" applyFill="1"/>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2" fontId="1" fillId="2" borderId="1" xfId="0" applyNumberFormat="1" applyFont="1" applyFill="1" applyBorder="1" applyAlignment="1">
      <alignment horizontal="center"/>
    </xf>
    <xf numFmtId="2" fontId="1" fillId="2" borderId="0" xfId="0" applyNumberFormat="1" applyFont="1" applyFill="1" applyBorder="1" applyAlignment="1">
      <alignment horizontal="center"/>
    </xf>
    <xf numFmtId="0" fontId="0" fillId="0" borderId="1" xfId="0" applyFont="1" applyBorder="1"/>
    <xf numFmtId="0" fontId="4" fillId="0" borderId="1" xfId="2" applyFont="1" applyBorder="1"/>
    <xf numFmtId="2" fontId="4" fillId="0" borderId="1" xfId="2" applyNumberFormat="1" applyFont="1" applyFill="1" applyBorder="1" applyAlignment="1">
      <alignment horizontal="center"/>
    </xf>
    <xf numFmtId="2" fontId="4" fillId="0" borderId="0" xfId="2"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xf numFmtId="0" fontId="0" fillId="0" borderId="0" xfId="0" applyFill="1" applyBorder="1" applyAlignment="1">
      <alignment horizontal="center"/>
    </xf>
    <xf numFmtId="0" fontId="0" fillId="0" borderId="0" xfId="0" quotePrefix="1" applyFill="1" applyBorder="1" applyAlignment="1">
      <alignment horizontal="center"/>
    </xf>
    <xf numFmtId="2" fontId="0" fillId="0" borderId="0" xfId="0" applyNumberFormat="1" applyFill="1" applyBorder="1"/>
    <xf numFmtId="164" fontId="0" fillId="0" borderId="0" xfId="0" applyNumberFormat="1" applyFill="1" applyBorder="1"/>
    <xf numFmtId="2" fontId="2" fillId="0" borderId="0" xfId="0" applyNumberFormat="1" applyFont="1" applyFill="1" applyBorder="1"/>
    <xf numFmtId="1" fontId="0" fillId="2" borderId="1" xfId="0" applyNumberFormat="1" applyFill="1" applyBorder="1" applyAlignment="1">
      <alignment horizontal="center"/>
    </xf>
    <xf numFmtId="1" fontId="0" fillId="2" borderId="0" xfId="0" applyNumberFormat="1" applyFill="1" applyBorder="1" applyAlignment="1">
      <alignment horizontal="center"/>
    </xf>
    <xf numFmtId="0" fontId="5" fillId="0" borderId="1" xfId="0" applyFont="1" applyBorder="1"/>
    <xf numFmtId="2" fontId="5" fillId="2" borderId="1" xfId="0" applyNumberFormat="1" applyFont="1" applyFill="1" applyBorder="1" applyAlignment="1">
      <alignment horizontal="center"/>
    </xf>
    <xf numFmtId="2" fontId="5" fillId="2" borderId="0" xfId="0" applyNumberFormat="1" applyFont="1" applyFill="1" applyBorder="1" applyAlignment="1">
      <alignment horizontal="center"/>
    </xf>
    <xf numFmtId="0" fontId="6" fillId="0" borderId="0" xfId="0" applyFont="1"/>
    <xf numFmtId="0" fontId="7" fillId="0" borderId="1" xfId="0" applyFont="1" applyBorder="1"/>
    <xf numFmtId="2" fontId="7" fillId="2" borderId="1" xfId="0" applyNumberFormat="1" applyFont="1" applyFill="1" applyBorder="1" applyAlignment="1">
      <alignment horizontal="center"/>
    </xf>
    <xf numFmtId="2" fontId="7" fillId="2" borderId="0" xfId="0" applyNumberFormat="1" applyFont="1" applyFill="1" applyBorder="1" applyAlignment="1">
      <alignment horizontal="center"/>
    </xf>
    <xf numFmtId="0" fontId="7" fillId="0" borderId="0" xfId="0" applyFont="1"/>
    <xf numFmtId="2" fontId="7" fillId="0" borderId="0" xfId="0" applyNumberFormat="1" applyFont="1" applyFill="1" applyBorder="1" applyAlignment="1">
      <alignment horizontal="center"/>
    </xf>
    <xf numFmtId="0" fontId="7" fillId="0" borderId="0" xfId="0" applyFont="1" applyFill="1" applyBorder="1" applyAlignment="1">
      <alignment horizontal="center"/>
    </xf>
    <xf numFmtId="0" fontId="8" fillId="0" borderId="1" xfId="0" applyFont="1" applyBorder="1"/>
    <xf numFmtId="0" fontId="1" fillId="0" borderId="0" xfId="0" applyFont="1" applyFill="1" applyBorder="1"/>
    <xf numFmtId="0" fontId="1" fillId="0" borderId="0" xfId="0" applyFont="1" applyFill="1" applyBorder="1" applyAlignment="1">
      <alignment horizontal="center"/>
    </xf>
    <xf numFmtId="0" fontId="10" fillId="0" borderId="0" xfId="0" applyFont="1"/>
    <xf numFmtId="15" fontId="0" fillId="0" borderId="0" xfId="0" applyNumberFormat="1"/>
    <xf numFmtId="0" fontId="11" fillId="0" borderId="0" xfId="0" applyFont="1"/>
    <xf numFmtId="0" fontId="10" fillId="4" borderId="0" xfId="0" applyFont="1" applyFill="1" applyProtection="1">
      <protection locked="0"/>
    </xf>
    <xf numFmtId="0" fontId="0" fillId="4" borderId="0" xfId="0" applyFill="1" applyProtection="1">
      <protection locked="0"/>
    </xf>
    <xf numFmtId="0" fontId="12" fillId="4" borderId="0" xfId="0" applyFont="1" applyFill="1"/>
    <xf numFmtId="0" fontId="0" fillId="4" borderId="0" xfId="0" applyFill="1"/>
    <xf numFmtId="0" fontId="13" fillId="3" borderId="3" xfId="0" applyFont="1" applyFill="1" applyBorder="1" applyAlignment="1">
      <alignment horizontal="center"/>
    </xf>
    <xf numFmtId="0" fontId="13" fillId="5" borderId="3" xfId="0" applyFont="1" applyFill="1" applyBorder="1"/>
    <xf numFmtId="0" fontId="0" fillId="5" borderId="3" xfId="0" applyFill="1" applyBorder="1"/>
    <xf numFmtId="0" fontId="0" fillId="5" borderId="4" xfId="0" applyFill="1" applyBorder="1"/>
    <xf numFmtId="0" fontId="13" fillId="6" borderId="0" xfId="0" applyFont="1" applyFill="1" applyBorder="1" applyAlignment="1">
      <alignment horizontal="center"/>
    </xf>
    <xf numFmtId="0" fontId="13" fillId="5" borderId="0" xfId="0" applyFont="1" applyFill="1" applyBorder="1"/>
    <xf numFmtId="0" fontId="0" fillId="5" borderId="0" xfId="0" applyFill="1" applyBorder="1"/>
    <xf numFmtId="0" fontId="0" fillId="5" borderId="6" xfId="0" applyFill="1" applyBorder="1"/>
    <xf numFmtId="0" fontId="13" fillId="4" borderId="0" xfId="0" applyFont="1" applyFill="1" applyBorder="1" applyAlignment="1">
      <alignment horizontal="center"/>
    </xf>
    <xf numFmtId="0" fontId="14" fillId="5" borderId="0" xfId="0" applyFont="1" applyFill="1" applyBorder="1"/>
    <xf numFmtId="0" fontId="13" fillId="7" borderId="8" xfId="0" applyFont="1" applyFill="1" applyBorder="1" applyAlignment="1">
      <alignment horizontal="center"/>
    </xf>
    <xf numFmtId="0" fontId="13" fillId="5" borderId="8" xfId="0" applyFont="1" applyFill="1" applyBorder="1"/>
    <xf numFmtId="0" fontId="0" fillId="5" borderId="8" xfId="0" applyFill="1" applyBorder="1"/>
    <xf numFmtId="0" fontId="0" fillId="5" borderId="9" xfId="0" applyFill="1" applyBorder="1"/>
    <xf numFmtId="0" fontId="13" fillId="3" borderId="0" xfId="0" applyFont="1" applyFill="1" applyBorder="1"/>
    <xf numFmtId="0" fontId="0" fillId="3" borderId="0" xfId="0" applyFill="1" applyBorder="1"/>
    <xf numFmtId="0" fontId="0" fillId="3" borderId="6" xfId="0" applyFill="1" applyBorder="1"/>
    <xf numFmtId="0" fontId="0" fillId="3" borderId="8" xfId="0" applyFill="1" applyBorder="1"/>
    <xf numFmtId="0" fontId="0" fillId="3" borderId="9" xfId="0" applyFill="1" applyBorder="1"/>
    <xf numFmtId="0" fontId="13" fillId="0" borderId="0" xfId="0" applyFont="1"/>
    <xf numFmtId="0" fontId="13" fillId="0" borderId="2" xfId="0" applyFont="1" applyBorder="1"/>
    <xf numFmtId="0" fontId="0" fillId="0" borderId="3" xfId="0" applyBorder="1"/>
    <xf numFmtId="0" fontId="0" fillId="0" borderId="4" xfId="0" applyBorder="1"/>
    <xf numFmtId="0" fontId="0" fillId="4" borderId="5" xfId="0" applyFill="1" applyBorder="1" applyProtection="1">
      <protection locked="0"/>
    </xf>
    <xf numFmtId="0" fontId="0" fillId="0" borderId="0" xfId="0" applyBorder="1"/>
    <xf numFmtId="0" fontId="0" fillId="4" borderId="0" xfId="0" applyFill="1" applyBorder="1" applyProtection="1">
      <protection locked="0"/>
    </xf>
    <xf numFmtId="0" fontId="0" fillId="0" borderId="6" xfId="0" applyBorder="1"/>
    <xf numFmtId="164" fontId="0" fillId="4" borderId="5" xfId="5" applyNumberFormat="1" applyFont="1" applyFill="1" applyBorder="1" applyProtection="1">
      <protection locked="0"/>
    </xf>
    <xf numFmtId="164" fontId="0" fillId="5" borderId="0" xfId="5" applyNumberFormat="1" applyFont="1" applyFill="1" applyBorder="1"/>
    <xf numFmtId="0" fontId="0" fillId="5" borderId="0" xfId="0" applyFill="1"/>
    <xf numFmtId="0" fontId="0" fillId="0" borderId="5" xfId="0" applyBorder="1"/>
    <xf numFmtId="0" fontId="0" fillId="0" borderId="7" xfId="0" applyBorder="1"/>
    <xf numFmtId="0" fontId="0" fillId="0" borderId="8" xfId="0" applyBorder="1"/>
    <xf numFmtId="164" fontId="0" fillId="5" borderId="8" xfId="5" applyNumberFormat="1" applyFont="1" applyFill="1" applyBorder="1"/>
    <xf numFmtId="0" fontId="0" fillId="0" borderId="9" xfId="0" applyBorder="1"/>
    <xf numFmtId="44" fontId="0" fillId="4" borderId="0" xfId="4" applyFont="1" applyFill="1" applyProtection="1">
      <protection locked="0"/>
    </xf>
    <xf numFmtId="0" fontId="0" fillId="0" borderId="0" xfId="0" applyFill="1"/>
    <xf numFmtId="0" fontId="13" fillId="5" borderId="10" xfId="0" applyFont="1" applyFill="1" applyBorder="1"/>
    <xf numFmtId="164" fontId="0" fillId="5" borderId="0" xfId="5" applyNumberFormat="1" applyFont="1" applyFill="1"/>
    <xf numFmtId="1" fontId="0" fillId="5" borderId="0" xfId="0" applyNumberFormat="1" applyFill="1"/>
    <xf numFmtId="0" fontId="0" fillId="0" borderId="10" xfId="0" applyBorder="1"/>
    <xf numFmtId="0" fontId="11" fillId="0" borderId="11" xfId="0" applyFont="1" applyBorder="1" applyAlignment="1">
      <alignment horizontal="center"/>
    </xf>
    <xf numFmtId="0" fontId="11" fillId="0" borderId="10" xfId="0" applyFont="1" applyBorder="1" applyAlignment="1">
      <alignment horizontal="center"/>
    </xf>
    <xf numFmtId="9" fontId="0" fillId="4" borderId="5" xfId="5" applyFont="1" applyFill="1" applyBorder="1" applyProtection="1">
      <protection locked="0"/>
    </xf>
    <xf numFmtId="9" fontId="0" fillId="5" borderId="0" xfId="5" applyFont="1" applyFill="1" applyBorder="1"/>
    <xf numFmtId="44" fontId="0" fillId="4" borderId="5" xfId="4" applyFont="1" applyFill="1" applyBorder="1" applyProtection="1">
      <protection locked="0"/>
    </xf>
    <xf numFmtId="44" fontId="0" fillId="4" borderId="0" xfId="4" applyFont="1" applyFill="1" applyBorder="1" applyProtection="1">
      <protection locked="0"/>
    </xf>
    <xf numFmtId="1" fontId="0" fillId="4" borderId="5" xfId="0" applyNumberFormat="1" applyFill="1" applyBorder="1" applyProtection="1">
      <protection locked="0"/>
    </xf>
    <xf numFmtId="1" fontId="0" fillId="4" borderId="0" xfId="0" applyNumberFormat="1" applyFill="1" applyBorder="1" applyProtection="1">
      <protection locked="0"/>
    </xf>
    <xf numFmtId="44" fontId="0" fillId="5" borderId="5" xfId="4" applyFont="1" applyFill="1" applyBorder="1"/>
    <xf numFmtId="165" fontId="0" fillId="5" borderId="5" xfId="3" applyNumberFormat="1" applyFont="1" applyFill="1" applyBorder="1"/>
    <xf numFmtId="165" fontId="0" fillId="5" borderId="0" xfId="3" applyNumberFormat="1" applyFont="1" applyFill="1" applyBorder="1"/>
    <xf numFmtId="165" fontId="0" fillId="5" borderId="5" xfId="0" applyNumberFormat="1" applyFill="1" applyBorder="1"/>
    <xf numFmtId="165" fontId="0" fillId="5" borderId="0" xfId="0" applyNumberFormat="1" applyFill="1" applyBorder="1"/>
    <xf numFmtId="9" fontId="14" fillId="5" borderId="5" xfId="5" applyFont="1" applyFill="1" applyBorder="1"/>
    <xf numFmtId="9" fontId="14" fillId="5" borderId="0" xfId="5" applyFont="1" applyFill="1" applyBorder="1"/>
    <xf numFmtId="0" fontId="13" fillId="3" borderId="13" xfId="0" applyFont="1" applyFill="1" applyBorder="1"/>
    <xf numFmtId="0" fontId="0" fillId="2" borderId="8" xfId="0" applyFill="1" applyBorder="1"/>
    <xf numFmtId="165" fontId="0" fillId="5" borderId="11" xfId="3" applyNumberFormat="1" applyFont="1" applyFill="1" applyBorder="1"/>
    <xf numFmtId="0" fontId="0" fillId="5" borderId="10" xfId="0" applyFill="1" applyBorder="1"/>
    <xf numFmtId="0" fontId="0" fillId="5" borderId="14" xfId="0" applyFill="1" applyBorder="1"/>
    <xf numFmtId="165" fontId="0" fillId="5" borderId="7" xfId="0" applyNumberFormat="1" applyFill="1" applyBorder="1"/>
    <xf numFmtId="0" fontId="0" fillId="8" borderId="0" xfId="0" applyFill="1"/>
    <xf numFmtId="0" fontId="15" fillId="0" borderId="0" xfId="0" applyFont="1"/>
    <xf numFmtId="167" fontId="13" fillId="5" borderId="2" xfId="4" applyNumberFormat="1" applyFont="1" applyFill="1" applyBorder="1"/>
    <xf numFmtId="167" fontId="13" fillId="5" borderId="5" xfId="4" applyNumberFormat="1" applyFont="1" applyFill="1" applyBorder="1"/>
    <xf numFmtId="167" fontId="13" fillId="5" borderId="5" xfId="0" applyNumberFormat="1" applyFont="1" applyFill="1" applyBorder="1"/>
    <xf numFmtId="167" fontId="13" fillId="5" borderId="7" xfId="0" applyNumberFormat="1" applyFont="1" applyFill="1" applyBorder="1"/>
    <xf numFmtId="167" fontId="13" fillId="3" borderId="5" xfId="0" applyNumberFormat="1" applyFont="1" applyFill="1" applyBorder="1"/>
    <xf numFmtId="167" fontId="13" fillId="3" borderId="7" xfId="0" applyNumberFormat="1" applyFont="1" applyFill="1" applyBorder="1"/>
    <xf numFmtId="0" fontId="13" fillId="3" borderId="8" xfId="0" applyFont="1" applyFill="1" applyBorder="1"/>
    <xf numFmtId="0" fontId="0" fillId="4" borderId="10" xfId="0" applyFill="1" applyBorder="1" applyProtection="1">
      <protection locked="0"/>
    </xf>
    <xf numFmtId="167" fontId="0" fillId="4" borderId="0" xfId="4" applyNumberFormat="1" applyFont="1" applyFill="1" applyProtection="1">
      <protection locked="0"/>
    </xf>
    <xf numFmtId="167" fontId="0" fillId="5" borderId="0" xfId="4" applyNumberFormat="1" applyFont="1" applyFill="1"/>
    <xf numFmtId="165" fontId="0" fillId="4" borderId="0" xfId="3" applyNumberFormat="1" applyFont="1" applyFill="1" applyProtection="1">
      <protection locked="0"/>
    </xf>
    <xf numFmtId="44" fontId="0" fillId="4" borderId="10" xfId="4" applyFont="1" applyFill="1" applyBorder="1" applyProtection="1">
      <protection locked="0"/>
    </xf>
    <xf numFmtId="166" fontId="0" fillId="5" borderId="0" xfId="0" applyNumberFormat="1" applyFill="1"/>
    <xf numFmtId="167" fontId="0" fillId="5" borderId="5" xfId="4" applyNumberFormat="1" applyFont="1" applyFill="1" applyBorder="1"/>
    <xf numFmtId="167" fontId="0" fillId="5" borderId="0" xfId="4" applyNumberFormat="1" applyFont="1" applyFill="1" applyBorder="1"/>
    <xf numFmtId="168" fontId="0" fillId="4" borderId="5" xfId="3" applyNumberFormat="1" applyFont="1" applyFill="1" applyBorder="1" applyProtection="1">
      <protection locked="0"/>
    </xf>
    <xf numFmtId="168" fontId="0" fillId="4" borderId="0" xfId="3" applyNumberFormat="1" applyFont="1" applyFill="1" applyBorder="1" applyProtection="1">
      <protection locked="0"/>
    </xf>
    <xf numFmtId="166" fontId="0" fillId="5" borderId="5" xfId="0" applyNumberFormat="1" applyFill="1" applyBorder="1"/>
    <xf numFmtId="166" fontId="0" fillId="5" borderId="0" xfId="0" applyNumberFormat="1" applyFill="1" applyBorder="1"/>
    <xf numFmtId="167" fontId="13" fillId="3" borderId="12" xfId="4" applyNumberFormat="1" applyFont="1" applyFill="1" applyBorder="1"/>
    <xf numFmtId="167" fontId="13" fillId="3" borderId="13" xfId="4" applyNumberFormat="1" applyFont="1" applyFill="1" applyBorder="1"/>
    <xf numFmtId="167" fontId="0" fillId="2" borderId="7" xfId="4" applyNumberFormat="1" applyFont="1" applyFill="1" applyBorder="1"/>
    <xf numFmtId="167" fontId="0" fillId="5" borderId="5" xfId="0" applyNumberFormat="1" applyFill="1" applyBorder="1" applyProtection="1">
      <protection locked="0"/>
    </xf>
    <xf numFmtId="0" fontId="0" fillId="5" borderId="5" xfId="0" applyFill="1" applyBorder="1"/>
    <xf numFmtId="167" fontId="0" fillId="5" borderId="0" xfId="0" applyNumberFormat="1" applyFill="1" applyBorder="1"/>
    <xf numFmtId="167" fontId="0" fillId="5" borderId="5" xfId="0" applyNumberFormat="1" applyFill="1" applyBorder="1"/>
    <xf numFmtId="0" fontId="0" fillId="5" borderId="7" xfId="0" applyFill="1" applyBorder="1"/>
    <xf numFmtId="167" fontId="0" fillId="5" borderId="8" xfId="0" applyNumberFormat="1" applyFill="1" applyBorder="1"/>
    <xf numFmtId="42" fontId="0" fillId="5" borderId="5" xfId="4" applyNumberFormat="1" applyFont="1" applyFill="1" applyBorder="1"/>
    <xf numFmtId="42" fontId="0" fillId="5" borderId="0" xfId="4" applyNumberFormat="1" applyFont="1" applyFill="1" applyBorder="1"/>
    <xf numFmtId="44" fontId="0" fillId="5" borderId="5" xfId="0" applyNumberFormat="1" applyFill="1" applyBorder="1"/>
    <xf numFmtId="44" fontId="0" fillId="5" borderId="0" xfId="0" applyNumberFormat="1" applyFill="1" applyBorder="1"/>
    <xf numFmtId="44" fontId="13" fillId="3" borderId="12" xfId="4" applyNumberFormat="1" applyFont="1" applyFill="1" applyBorder="1"/>
    <xf numFmtId="44" fontId="13" fillId="3" borderId="13" xfId="4" applyNumberFormat="1" applyFont="1" applyFill="1" applyBorder="1"/>
    <xf numFmtId="42" fontId="0" fillId="5" borderId="0" xfId="0" applyNumberFormat="1" applyFill="1" applyBorder="1"/>
    <xf numFmtId="42" fontId="0" fillId="5" borderId="5" xfId="0" applyNumberFormat="1" applyFill="1" applyBorder="1" applyProtection="1">
      <protection locked="0"/>
    </xf>
    <xf numFmtId="42" fontId="0" fillId="5" borderId="5" xfId="0" applyNumberFormat="1" applyFill="1" applyBorder="1"/>
    <xf numFmtId="44" fontId="20" fillId="2" borderId="7" xfId="4" applyNumberFormat="1" applyFont="1" applyFill="1" applyBorder="1"/>
    <xf numFmtId="44" fontId="20" fillId="2" borderId="8" xfId="0" applyNumberFormat="1" applyFont="1" applyFill="1" applyBorder="1"/>
    <xf numFmtId="0" fontId="20" fillId="2" borderId="8" xfId="0" applyFont="1" applyFill="1" applyBorder="1"/>
    <xf numFmtId="0" fontId="21" fillId="7" borderId="8" xfId="0" applyFont="1" applyFill="1" applyBorder="1" applyAlignment="1">
      <alignment horizontal="center"/>
    </xf>
    <xf numFmtId="42" fontId="13" fillId="5" borderId="2" xfId="4" applyNumberFormat="1" applyFont="1" applyFill="1" applyBorder="1"/>
    <xf numFmtId="42" fontId="13" fillId="5" borderId="5" xfId="4" applyNumberFormat="1" applyFont="1" applyFill="1" applyBorder="1"/>
    <xf numFmtId="42" fontId="13" fillId="5" borderId="5" xfId="0" applyNumberFormat="1" applyFont="1" applyFill="1" applyBorder="1"/>
    <xf numFmtId="42" fontId="13" fillId="5" borderId="7" xfId="0" applyNumberFormat="1" applyFont="1" applyFill="1" applyBorder="1"/>
    <xf numFmtId="42" fontId="13" fillId="3" borderId="5" xfId="0" applyNumberFormat="1" applyFont="1" applyFill="1" applyBorder="1"/>
    <xf numFmtId="42" fontId="13" fillId="3" borderId="7" xfId="0" applyNumberFormat="1" applyFont="1" applyFill="1" applyBorder="1"/>
    <xf numFmtId="0" fontId="13" fillId="2" borderId="0" xfId="0" applyFont="1" applyFill="1"/>
    <xf numFmtId="0" fontId="0" fillId="2" borderId="0" xfId="0" applyFill="1"/>
    <xf numFmtId="0" fontId="13" fillId="0" borderId="0" xfId="0" applyFont="1" applyAlignment="1">
      <alignment horizontal="center"/>
    </xf>
    <xf numFmtId="0" fontId="13" fillId="0" borderId="0" xfId="0" applyFont="1" applyAlignment="1">
      <alignment horizontal="left"/>
    </xf>
    <xf numFmtId="0" fontId="13" fillId="0" borderId="10" xfId="0" applyFont="1" applyBorder="1" applyAlignment="1">
      <alignment horizontal="center"/>
    </xf>
    <xf numFmtId="0" fontId="13" fillId="0" borderId="0" xfId="0" applyFont="1" applyBorder="1" applyAlignment="1">
      <alignment horizontal="center"/>
    </xf>
    <xf numFmtId="0" fontId="13" fillId="0" borderId="15" xfId="0" applyFont="1" applyBorder="1" applyAlignment="1">
      <alignment horizontal="center"/>
    </xf>
    <xf numFmtId="165" fontId="0" fillId="0" borderId="0" xfId="3" applyNumberFormat="1" applyFont="1"/>
    <xf numFmtId="164" fontId="0" fillId="0" borderId="0" xfId="5" applyNumberFormat="1" applyFont="1"/>
    <xf numFmtId="0" fontId="13" fillId="0" borderId="16" xfId="0" applyFont="1" applyBorder="1"/>
    <xf numFmtId="9" fontId="0" fillId="0" borderId="16" xfId="5" applyNumberFormat="1" applyFont="1" applyFill="1" applyBorder="1"/>
    <xf numFmtId="169" fontId="0" fillId="0" borderId="0" xfId="3" applyNumberFormat="1" applyFont="1" applyBorder="1"/>
    <xf numFmtId="164" fontId="0" fillId="0" borderId="16" xfId="5" applyNumberFormat="1" applyFont="1" applyBorder="1"/>
    <xf numFmtId="0" fontId="13" fillId="0" borderId="0" xfId="0" applyFont="1" applyBorder="1"/>
    <xf numFmtId="9" fontId="0" fillId="0" borderId="0" xfId="5" applyNumberFormat="1" applyFont="1" applyFill="1" applyBorder="1"/>
    <xf numFmtId="164" fontId="0" fillId="0" borderId="0" xfId="5" applyNumberFormat="1" applyFont="1" applyBorder="1"/>
    <xf numFmtId="168" fontId="0" fillId="0" borderId="0" xfId="3" applyNumberFormat="1" applyFont="1"/>
    <xf numFmtId="9" fontId="14" fillId="0" borderId="0" xfId="5" applyNumberFormat="1" applyFont="1" applyFill="1" applyBorder="1"/>
    <xf numFmtId="168" fontId="0" fillId="0" borderId="10" xfId="3" applyNumberFormat="1" applyFont="1" applyBorder="1"/>
    <xf numFmtId="164" fontId="0" fillId="0" borderId="10" xfId="5" applyNumberFormat="1" applyFont="1" applyBorder="1"/>
    <xf numFmtId="0" fontId="13" fillId="0" borderId="10" xfId="0" applyFont="1" applyBorder="1"/>
    <xf numFmtId="9" fontId="0" fillId="0" borderId="10" xfId="5" applyNumberFormat="1" applyFont="1" applyFill="1" applyBorder="1"/>
    <xf numFmtId="169" fontId="0" fillId="0" borderId="10" xfId="3" applyNumberFormat="1" applyFont="1" applyBorder="1"/>
    <xf numFmtId="10" fontId="0" fillId="0" borderId="0" xfId="5" applyNumberFormat="1" applyFont="1"/>
    <xf numFmtId="9" fontId="0" fillId="0" borderId="0" xfId="5" applyFont="1" applyFill="1" applyBorder="1"/>
    <xf numFmtId="43" fontId="0" fillId="0" borderId="0" xfId="3" applyFont="1"/>
    <xf numFmtId="10" fontId="13" fillId="0" borderId="0" xfId="5" applyNumberFormat="1" applyFont="1" applyAlignment="1">
      <alignment horizontal="center"/>
    </xf>
    <xf numFmtId="164" fontId="13" fillId="0" borderId="0" xfId="5" applyNumberFormat="1" applyFont="1" applyAlignment="1">
      <alignment horizontal="center"/>
    </xf>
    <xf numFmtId="10" fontId="13" fillId="0" borderId="10" xfId="5" applyNumberFormat="1" applyFont="1" applyBorder="1" applyAlignment="1">
      <alignment horizontal="center"/>
    </xf>
    <xf numFmtId="165" fontId="13" fillId="0" borderId="10" xfId="3" applyNumberFormat="1" applyFont="1" applyBorder="1" applyAlignment="1">
      <alignment horizontal="center"/>
    </xf>
    <xf numFmtId="9" fontId="0" fillId="0" borderId="0" xfId="5" applyNumberFormat="1" applyFont="1" applyFill="1"/>
    <xf numFmtId="169" fontId="0" fillId="0" borderId="1" xfId="3" applyNumberFormat="1" applyFont="1" applyBorder="1"/>
    <xf numFmtId="165" fontId="0" fillId="0" borderId="10" xfId="3" applyNumberFormat="1" applyFont="1" applyBorder="1"/>
    <xf numFmtId="9" fontId="0" fillId="0" borderId="17" xfId="5" applyNumberFormat="1" applyFont="1" applyFill="1" applyBorder="1"/>
    <xf numFmtId="169" fontId="0" fillId="0" borderId="15" xfId="3" applyNumberFormat="1" applyFont="1" applyBorder="1"/>
    <xf numFmtId="2" fontId="5" fillId="0" borderId="1" xfId="0" applyNumberFormat="1" applyFont="1" applyFill="1" applyBorder="1" applyAlignment="1">
      <alignment horizontal="center"/>
    </xf>
    <xf numFmtId="2" fontId="5" fillId="0" borderId="0" xfId="0" applyNumberFormat="1" applyFont="1" applyFill="1" applyBorder="1" applyAlignment="1">
      <alignment horizontal="center"/>
    </xf>
    <xf numFmtId="0" fontId="5" fillId="8" borderId="1" xfId="0" applyFont="1" applyFill="1" applyBorder="1"/>
    <xf numFmtId="2" fontId="5" fillId="8" borderId="1" xfId="0" applyNumberFormat="1" applyFont="1" applyFill="1" applyBorder="1" applyAlignment="1">
      <alignment horizontal="center"/>
    </xf>
    <xf numFmtId="2" fontId="5" fillId="8" borderId="0" xfId="0" applyNumberFormat="1" applyFont="1" applyFill="1" applyBorder="1" applyAlignment="1">
      <alignment horizontal="center"/>
    </xf>
    <xf numFmtId="0" fontId="6" fillId="8" borderId="0" xfId="0" applyFont="1" applyFill="1"/>
    <xf numFmtId="0" fontId="0" fillId="8" borderId="0" xfId="0" quotePrefix="1" applyFill="1" applyBorder="1" applyAlignment="1">
      <alignment horizontal="center"/>
    </xf>
    <xf numFmtId="0" fontId="2" fillId="8" borderId="0" xfId="0" applyFont="1" applyFill="1" applyBorder="1" applyAlignment="1">
      <alignment horizontal="center"/>
    </xf>
    <xf numFmtId="2" fontId="22" fillId="2" borderId="1" xfId="0" applyNumberFormat="1" applyFont="1" applyFill="1" applyBorder="1" applyAlignment="1">
      <alignment horizontal="center"/>
    </xf>
    <xf numFmtId="2" fontId="22" fillId="2" borderId="0" xfId="0" applyNumberFormat="1" applyFont="1" applyFill="1" applyBorder="1" applyAlignment="1">
      <alignment horizontal="center"/>
    </xf>
    <xf numFmtId="0" fontId="22" fillId="0" borderId="0" xfId="0" applyFont="1"/>
    <xf numFmtId="0" fontId="22" fillId="0" borderId="0" xfId="0" quotePrefix="1" applyFont="1" applyFill="1" applyBorder="1" applyAlignment="1">
      <alignment horizontal="center"/>
    </xf>
    <xf numFmtId="2" fontId="1" fillId="9" borderId="1" xfId="0" applyNumberFormat="1" applyFont="1" applyFill="1" applyBorder="1" applyAlignment="1">
      <alignment horizontal="center"/>
    </xf>
    <xf numFmtId="2" fontId="1" fillId="9" borderId="0" xfId="0" applyNumberFormat="1" applyFont="1" applyFill="1" applyBorder="1" applyAlignment="1">
      <alignment horizontal="center"/>
    </xf>
    <xf numFmtId="0" fontId="0" fillId="9" borderId="0" xfId="0" applyFill="1"/>
    <xf numFmtId="0" fontId="0" fillId="9" borderId="0" xfId="0" quotePrefix="1" applyFill="1" applyBorder="1" applyAlignment="1">
      <alignment horizontal="center"/>
    </xf>
    <xf numFmtId="2" fontId="8" fillId="9" borderId="1" xfId="0" applyNumberFormat="1" applyFont="1" applyFill="1" applyBorder="1" applyAlignment="1">
      <alignment horizontal="center"/>
    </xf>
    <xf numFmtId="2" fontId="8" fillId="9" borderId="0" xfId="0" applyNumberFormat="1" applyFont="1" applyFill="1" applyBorder="1" applyAlignment="1">
      <alignment horizontal="center"/>
    </xf>
    <xf numFmtId="0" fontId="8" fillId="9" borderId="0" xfId="0" applyFont="1" applyFill="1"/>
    <xf numFmtId="0" fontId="8" fillId="9" borderId="0" xfId="0" applyFont="1" applyFill="1" applyBorder="1" applyAlignment="1">
      <alignment horizontal="center"/>
    </xf>
    <xf numFmtId="2" fontId="0" fillId="9" borderId="0" xfId="0" applyNumberFormat="1" applyFill="1"/>
    <xf numFmtId="0" fontId="1" fillId="0" borderId="0" xfId="0" applyFont="1" applyFill="1"/>
    <xf numFmtId="2" fontId="0" fillId="0" borderId="1" xfId="0" applyNumberFormat="1" applyFill="1" applyBorder="1" applyAlignment="1">
      <alignment horizontal="center"/>
    </xf>
    <xf numFmtId="2" fontId="1" fillId="0" borderId="1" xfId="0" applyNumberFormat="1" applyFont="1" applyFill="1" applyBorder="1" applyAlignment="1">
      <alignment horizontal="center"/>
    </xf>
    <xf numFmtId="2" fontId="22" fillId="0" borderId="1" xfId="0" applyNumberFormat="1" applyFont="1" applyFill="1" applyBorder="1" applyAlignment="1">
      <alignment horizontal="center"/>
    </xf>
    <xf numFmtId="2" fontId="22" fillId="0" borderId="0" xfId="0" applyNumberFormat="1" applyFont="1" applyFill="1" applyBorder="1" applyAlignment="1">
      <alignment horizontal="center"/>
    </xf>
    <xf numFmtId="2" fontId="7" fillId="0" borderId="1" xfId="0" applyNumberFormat="1" applyFont="1" applyFill="1" applyBorder="1" applyAlignment="1">
      <alignment horizontal="center"/>
    </xf>
    <xf numFmtId="1" fontId="0" fillId="0" borderId="1" xfId="0" applyNumberFormat="1" applyFill="1" applyBorder="1" applyAlignment="1">
      <alignment horizontal="center"/>
    </xf>
    <xf numFmtId="1" fontId="0" fillId="0" borderId="0" xfId="0" applyNumberFormat="1" applyFill="1" applyBorder="1" applyAlignment="1">
      <alignment horizontal="center"/>
    </xf>
    <xf numFmtId="2" fontId="0" fillId="0" borderId="0" xfId="0" applyNumberFormat="1" applyFill="1"/>
    <xf numFmtId="0" fontId="0" fillId="0" borderId="2" xfId="0" applyBorder="1"/>
  </cellXfs>
  <cellStyles count="6">
    <cellStyle name="Euro" xfId="1"/>
    <cellStyle name="Komma" xfId="3" builtinId="3"/>
    <cellStyle name="Prozent" xfId="5" builtinId="5"/>
    <cellStyle name="Standard" xfId="0" builtinId="0"/>
    <cellStyle name="Standard 2" xfId="2"/>
    <cellStyle name="Währung" xfId="4"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de-DE"/>
              <a:t>Excess Losses Due to Mastitis</a:t>
            </a:r>
          </a:p>
        </c:rich>
      </c:tx>
      <c:layout>
        <c:manualLayout>
          <c:xMode val="edge"/>
          <c:yMode val="edge"/>
          <c:x val="0.2248683058146955"/>
          <c:y val="3.7593984962406013E-2"/>
        </c:manualLayout>
      </c:layout>
      <c:overlay val="0"/>
      <c:spPr>
        <a:noFill/>
        <a:ln w="25400">
          <a:noFill/>
        </a:ln>
      </c:spPr>
    </c:title>
    <c:autoTitleDeleted val="0"/>
    <c:plotArea>
      <c:layout>
        <c:manualLayout>
          <c:layoutTarget val="inner"/>
          <c:xMode val="edge"/>
          <c:yMode val="edge"/>
          <c:x val="0.25396891009659728"/>
          <c:y val="0.36090225563909772"/>
          <c:w val="0.2936515522991906"/>
          <c:h val="0.41729323308270677"/>
        </c:manualLayout>
      </c:layout>
      <c:pieChart>
        <c:varyColors val="1"/>
        <c:ser>
          <c:idx val="0"/>
          <c:order val="0"/>
          <c:tx>
            <c:v>Losses</c:v>
          </c:tx>
          <c:spPr>
            <a:solidFill>
              <a:srgbClr val="9999FF"/>
            </a:solidFill>
            <a:ln w="12700">
              <a:solidFill>
                <a:srgbClr val="000000"/>
              </a:solidFill>
              <a:prstDash val="solid"/>
            </a:ln>
          </c:spPr>
          <c:dPt>
            <c:idx val="0"/>
            <c:bubble3D val="0"/>
            <c:spPr>
              <a:solidFill>
                <a:srgbClr val="FFCC99"/>
              </a:solidFill>
              <a:ln w="12700">
                <a:solidFill>
                  <a:srgbClr val="000000"/>
                </a:solidFill>
                <a:prstDash val="solid"/>
              </a:ln>
            </c:spPr>
          </c:dPt>
          <c:dPt>
            <c:idx val="1"/>
            <c:bubble3D val="0"/>
            <c:spPr>
              <a:solidFill>
                <a:srgbClr val="CC99FF"/>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de-DE"/>
              </a:p>
            </c:txPr>
            <c:showLegendKey val="0"/>
            <c:showVal val="1"/>
            <c:showCatName val="0"/>
            <c:showSerName val="0"/>
            <c:showPercent val="0"/>
            <c:showBubbleSize val="0"/>
            <c:showLeaderLines val="1"/>
          </c:dLbls>
          <c:cat>
            <c:strRef>
              <c:f>'[1]totals and goals'!$B$4:$B$7</c:f>
              <c:strCache>
                <c:ptCount val="4"/>
                <c:pt idx="0">
                  <c:v>clinical</c:v>
                </c:pt>
                <c:pt idx="1">
                  <c:v>production</c:v>
                </c:pt>
                <c:pt idx="2">
                  <c:v>premiums</c:v>
                </c:pt>
                <c:pt idx="3">
                  <c:v>culls/deaths</c:v>
                </c:pt>
              </c:strCache>
            </c:strRef>
          </c:cat>
          <c:val>
            <c:numRef>
              <c:f>'[1]totals and goals'!$A$4:$A$7</c:f>
              <c:numCache>
                <c:formatCode>General</c:formatCode>
                <c:ptCount val="4"/>
                <c:pt idx="0">
                  <c:v>1407.0809999999999</c:v>
                </c:pt>
                <c:pt idx="1">
                  <c:v>3068.39456590909</c:v>
                </c:pt>
                <c:pt idx="2">
                  <c:v>10858.75</c:v>
                </c:pt>
                <c:pt idx="3">
                  <c:v>6993.5</c:v>
                </c:pt>
              </c:numCache>
            </c:numRef>
          </c:val>
        </c:ser>
        <c:dLbls>
          <c:showLegendKey val="1"/>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74867918288892732"/>
          <c:y val="0.41353383458646614"/>
          <c:w val="0.18518566361210217"/>
          <c:h val="0.289473684210526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pageMargins b="0.984251969" l="0.78740157499999996" r="0.78740157499999996"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de-DE"/>
              <a:t>Excess Losses Due to Mastitis</a:t>
            </a:r>
          </a:p>
        </c:rich>
      </c:tx>
      <c:layout>
        <c:manualLayout>
          <c:xMode val="edge"/>
          <c:yMode val="edge"/>
          <c:x val="0.2248683058146955"/>
          <c:y val="3.7593984962406013E-2"/>
        </c:manualLayout>
      </c:layout>
      <c:overlay val="0"/>
      <c:spPr>
        <a:noFill/>
        <a:ln w="25400">
          <a:noFill/>
        </a:ln>
      </c:spPr>
    </c:title>
    <c:autoTitleDeleted val="0"/>
    <c:plotArea>
      <c:layout>
        <c:manualLayout>
          <c:layoutTarget val="inner"/>
          <c:xMode val="edge"/>
          <c:yMode val="edge"/>
          <c:x val="0.25396891009659728"/>
          <c:y val="0.36090225563909772"/>
          <c:w val="0.2936515522991906"/>
          <c:h val="0.41729323308270677"/>
        </c:manualLayout>
      </c:layout>
      <c:pieChart>
        <c:varyColors val="1"/>
        <c:ser>
          <c:idx val="0"/>
          <c:order val="0"/>
          <c:tx>
            <c:v>Losses</c:v>
          </c:tx>
          <c:spPr>
            <a:solidFill>
              <a:srgbClr val="9999FF"/>
            </a:solidFill>
            <a:ln w="12700">
              <a:solidFill>
                <a:srgbClr val="000000"/>
              </a:solidFill>
              <a:prstDash val="solid"/>
            </a:ln>
          </c:spPr>
          <c:dPt>
            <c:idx val="0"/>
            <c:bubble3D val="0"/>
            <c:spPr>
              <a:solidFill>
                <a:srgbClr val="FFCC99"/>
              </a:solidFill>
              <a:ln w="12700">
                <a:solidFill>
                  <a:srgbClr val="000000"/>
                </a:solidFill>
                <a:prstDash val="solid"/>
              </a:ln>
            </c:spPr>
          </c:dPt>
          <c:dPt>
            <c:idx val="1"/>
            <c:bubble3D val="0"/>
            <c:spPr>
              <a:solidFill>
                <a:srgbClr val="CC99FF"/>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de-DE"/>
              </a:p>
            </c:txPr>
            <c:showLegendKey val="1"/>
            <c:showVal val="1"/>
            <c:showCatName val="0"/>
            <c:showSerName val="0"/>
            <c:showPercent val="0"/>
            <c:showBubbleSize val="0"/>
            <c:showLeaderLines val="1"/>
          </c:dLbls>
          <c:cat>
            <c:strRef>
              <c:f>'[1]totals and goals'!$B$4:$B$7</c:f>
              <c:strCache>
                <c:ptCount val="4"/>
                <c:pt idx="0">
                  <c:v>clinical</c:v>
                </c:pt>
                <c:pt idx="1">
                  <c:v>production</c:v>
                </c:pt>
                <c:pt idx="2">
                  <c:v>premiums</c:v>
                </c:pt>
                <c:pt idx="3">
                  <c:v>culls/deaths</c:v>
                </c:pt>
              </c:strCache>
            </c:strRef>
          </c:cat>
          <c:val>
            <c:numRef>
              <c:f>'[1]totals and goals'!$A$4:$A$7</c:f>
              <c:numCache>
                <c:formatCode>General</c:formatCode>
                <c:ptCount val="4"/>
                <c:pt idx="0">
                  <c:v>1407.0809999999999</c:v>
                </c:pt>
                <c:pt idx="1">
                  <c:v>3068.39456590909</c:v>
                </c:pt>
                <c:pt idx="2">
                  <c:v>10858.75</c:v>
                </c:pt>
                <c:pt idx="3">
                  <c:v>6993.5</c:v>
                </c:pt>
              </c:numCache>
            </c:numRef>
          </c:val>
        </c:ser>
        <c:dLbls>
          <c:showLegendKey val="1"/>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74867918288892732"/>
          <c:y val="0.41353383458646614"/>
          <c:w val="0.18518566361210217"/>
          <c:h val="0.2894736842105263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pageMargins b="0.984251969" l="0.78740157499999996" r="0.78740157499999996"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200025</xdr:colOff>
      <xdr:row>2</xdr:row>
      <xdr:rowOff>180975</xdr:rowOff>
    </xdr:from>
    <xdr:to>
      <xdr:col>15</xdr:col>
      <xdr:colOff>371475</xdr:colOff>
      <xdr:row>15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200025</xdr:colOff>
      <xdr:row>2</xdr:row>
      <xdr:rowOff>180975</xdr:rowOff>
    </xdr:from>
    <xdr:to>
      <xdr:col>15</xdr:col>
      <xdr:colOff>371475</xdr:colOff>
      <xdr:row>15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smo\LOKALE~1\Temp\1\cvm-212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and goals"/>
      <sheetName val="sccloss"/>
    </sheetNames>
    <sheetDataSet>
      <sheetData sheetId="0">
        <row r="4">
          <cell r="A4">
            <v>1407.0809999999999</v>
          </cell>
          <cell r="B4" t="str">
            <v>clinical</v>
          </cell>
        </row>
        <row r="5">
          <cell r="A5">
            <v>3068.39456590909</v>
          </cell>
          <cell r="B5" t="str">
            <v>production</v>
          </cell>
        </row>
        <row r="6">
          <cell r="A6">
            <v>10858.75</v>
          </cell>
          <cell r="B6" t="str">
            <v>premiums</v>
          </cell>
        </row>
        <row r="7">
          <cell r="A7">
            <v>6993.5</v>
          </cell>
          <cell r="B7" t="str">
            <v>culls/deaths</v>
          </cell>
        </row>
        <row r="12">
          <cell r="A12">
            <v>200</v>
          </cell>
        </row>
        <row r="23">
          <cell r="A23">
            <v>400</v>
          </cell>
        </row>
      </sheetData>
      <sheetData sheetId="1">
        <row r="18">
          <cell r="A18">
            <v>92.327272727272714</v>
          </cell>
        </row>
        <row r="32">
          <cell r="A32">
            <v>32.299999999999997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view="pageLayout" zoomScaleNormal="100" workbookViewId="0">
      <selection activeCell="A40" sqref="A40"/>
    </sheetView>
  </sheetViews>
  <sheetFormatPr baseColWidth="10" defaultRowHeight="15" x14ac:dyDescent="0.25"/>
  <cols>
    <col min="1" max="1" width="34.42578125" customWidth="1"/>
    <col min="2" max="2" width="14.42578125" customWidth="1"/>
    <col min="3" max="3" width="8.85546875" customWidth="1"/>
    <col min="4" max="4" width="4.28515625" customWidth="1"/>
    <col min="7" max="7" width="4.85546875" customWidth="1"/>
    <col min="10" max="10" width="4.7109375" customWidth="1"/>
    <col min="13" max="13" width="4.7109375" customWidth="1"/>
    <col min="14" max="14" width="8.140625" customWidth="1"/>
    <col min="15" max="15" width="8.42578125" customWidth="1"/>
  </cols>
  <sheetData>
    <row r="1" spans="1:17" x14ac:dyDescent="0.25">
      <c r="B1" s="28" t="s">
        <v>11</v>
      </c>
      <c r="C1" s="9"/>
      <c r="E1" s="29" t="s">
        <v>12</v>
      </c>
      <c r="H1" s="29" t="s">
        <v>19</v>
      </c>
      <c r="I1" s="29"/>
      <c r="J1" s="29"/>
      <c r="K1" s="29" t="s">
        <v>21</v>
      </c>
      <c r="L1" s="48"/>
      <c r="M1" s="49"/>
      <c r="N1" s="224"/>
      <c r="O1" s="9"/>
      <c r="P1" s="9"/>
      <c r="Q1" s="9"/>
    </row>
    <row r="2" spans="1:17" hidden="1" x14ac:dyDescent="0.25">
      <c r="B2" t="s">
        <v>16</v>
      </c>
      <c r="E2" t="s">
        <v>17</v>
      </c>
      <c r="H2" t="s">
        <v>18</v>
      </c>
      <c r="K2" t="s">
        <v>22</v>
      </c>
      <c r="L2" s="10"/>
      <c r="M2" s="12"/>
      <c r="N2" s="93"/>
      <c r="O2" s="10"/>
      <c r="P2" s="12"/>
      <c r="Q2" s="12"/>
    </row>
    <row r="3" spans="1:17" s="13" customFormat="1" x14ac:dyDescent="0.25">
      <c r="A3" s="12"/>
      <c r="B3" s="13" t="s">
        <v>190</v>
      </c>
      <c r="C3" s="13" t="s">
        <v>191</v>
      </c>
      <c r="E3" s="13" t="s">
        <v>190</v>
      </c>
      <c r="F3" s="13" t="s">
        <v>191</v>
      </c>
      <c r="H3" s="13" t="s">
        <v>190</v>
      </c>
      <c r="I3" s="13" t="s">
        <v>191</v>
      </c>
      <c r="K3" s="13" t="s">
        <v>190</v>
      </c>
      <c r="L3" s="13" t="s">
        <v>191</v>
      </c>
      <c r="N3" s="93"/>
      <c r="O3" s="10"/>
      <c r="P3" s="12"/>
      <c r="Q3" s="12"/>
    </row>
    <row r="4" spans="1:17" x14ac:dyDescent="0.25">
      <c r="A4" s="1" t="s">
        <v>0</v>
      </c>
      <c r="B4" s="2">
        <v>30</v>
      </c>
      <c r="C4" s="3">
        <v>30</v>
      </c>
      <c r="E4" s="15">
        <v>30</v>
      </c>
      <c r="F4" s="16">
        <v>30</v>
      </c>
      <c r="H4" s="15">
        <v>30</v>
      </c>
      <c r="I4" s="16">
        <v>30</v>
      </c>
      <c r="J4" s="13"/>
      <c r="K4" s="15">
        <v>30</v>
      </c>
      <c r="L4" s="16">
        <v>30</v>
      </c>
      <c r="M4" s="31"/>
      <c r="N4" s="225"/>
      <c r="O4" s="9"/>
      <c r="P4" s="9"/>
      <c r="Q4" s="9"/>
    </row>
    <row r="5" spans="1:17" x14ac:dyDescent="0.25">
      <c r="A5" s="1" t="s">
        <v>1</v>
      </c>
      <c r="B5" s="22">
        <v>3.8</v>
      </c>
      <c r="C5" s="23">
        <v>4.1500000000000004</v>
      </c>
      <c r="D5" s="29"/>
      <c r="E5" s="22">
        <v>3.8</v>
      </c>
      <c r="F5" s="23">
        <v>4.1500000000000004</v>
      </c>
      <c r="G5" s="29"/>
      <c r="H5" s="22">
        <v>3.8</v>
      </c>
      <c r="I5" s="23">
        <v>4.1500000000000004</v>
      </c>
      <c r="J5" s="29"/>
      <c r="K5" s="22">
        <v>3.8</v>
      </c>
      <c r="L5" s="23">
        <v>4.1500000000000004</v>
      </c>
      <c r="M5" s="49"/>
      <c r="N5" s="226"/>
      <c r="O5" s="28"/>
      <c r="P5" s="12"/>
      <c r="Q5" s="12"/>
    </row>
    <row r="6" spans="1:17" s="44" customFormat="1" hidden="1" x14ac:dyDescent="0.25">
      <c r="A6" s="41" t="s">
        <v>2</v>
      </c>
      <c r="B6" s="211">
        <f>B4*(B5/100)</f>
        <v>1.1399999999999999</v>
      </c>
      <c r="C6" s="212">
        <f>C4*(C5/100)</f>
        <v>1.2450000000000001</v>
      </c>
      <c r="D6" s="213"/>
      <c r="E6" s="211">
        <f>E4*(E5/100)</f>
        <v>1.1399999999999999</v>
      </c>
      <c r="F6" s="212">
        <f>F4*(F5/100)</f>
        <v>1.2450000000000001</v>
      </c>
      <c r="G6" s="213"/>
      <c r="H6" s="211">
        <f>H4*(H5/100)</f>
        <v>1.1399999999999999</v>
      </c>
      <c r="I6" s="212">
        <f>I4*(I5/100)</f>
        <v>1.2450000000000001</v>
      </c>
      <c r="J6" s="213"/>
      <c r="K6" s="211">
        <f>K4*(K5/100)</f>
        <v>1.1399999999999999</v>
      </c>
      <c r="L6" s="212">
        <f>L4*(L5/100)</f>
        <v>1.2450000000000001</v>
      </c>
      <c r="M6" s="214"/>
      <c r="N6" s="227"/>
      <c r="O6" s="228"/>
      <c r="P6" s="45"/>
      <c r="Q6" s="45"/>
    </row>
    <row r="7" spans="1:17" x14ac:dyDescent="0.25">
      <c r="A7" s="1" t="s">
        <v>3</v>
      </c>
      <c r="B7" s="22">
        <v>3.1</v>
      </c>
      <c r="C7" s="23">
        <v>3.25</v>
      </c>
      <c r="D7" s="29"/>
      <c r="E7" s="22">
        <v>3.1</v>
      </c>
      <c r="F7" s="23">
        <v>3.25</v>
      </c>
      <c r="G7" s="29"/>
      <c r="H7" s="22">
        <v>3.1</v>
      </c>
      <c r="I7" s="23">
        <v>3.25</v>
      </c>
      <c r="J7" s="29"/>
      <c r="K7" s="22">
        <v>3.1</v>
      </c>
      <c r="L7" s="23">
        <v>3.25</v>
      </c>
      <c r="M7" s="49"/>
      <c r="N7" s="226"/>
      <c r="O7" s="28"/>
      <c r="P7" s="9"/>
      <c r="Q7" s="9"/>
    </row>
    <row r="8" spans="1:17" s="44" customFormat="1" hidden="1" x14ac:dyDescent="0.25">
      <c r="A8" s="41" t="s">
        <v>4</v>
      </c>
      <c r="B8" s="42">
        <f>B4*(B7/100)</f>
        <v>0.92999999999999994</v>
      </c>
      <c r="C8" s="43">
        <f>C4*(C7/100)</f>
        <v>0.97500000000000009</v>
      </c>
      <c r="E8" s="42">
        <f>E4*(E7/100)</f>
        <v>0.92999999999999994</v>
      </c>
      <c r="F8" s="43">
        <f>F4*(F7/100)</f>
        <v>0.97500000000000009</v>
      </c>
      <c r="H8" s="42">
        <f>H4*(H7/100)</f>
        <v>0.92999999999999994</v>
      </c>
      <c r="I8" s="43">
        <f>I4*(I7/100)</f>
        <v>0.97500000000000009</v>
      </c>
      <c r="K8" s="42">
        <f>K4*(K7/100)</f>
        <v>0.92999999999999994</v>
      </c>
      <c r="L8" s="43">
        <f>L4*(L7/100)</f>
        <v>0.97500000000000009</v>
      </c>
      <c r="M8" s="46"/>
      <c r="N8" s="229"/>
      <c r="O8" s="45"/>
      <c r="P8" s="46"/>
      <c r="Q8" s="46"/>
    </row>
    <row r="9" spans="1:17" x14ac:dyDescent="0.25">
      <c r="A9" s="1" t="s">
        <v>27</v>
      </c>
      <c r="B9" s="15">
        <f>B4*((0.38*B5+0.21*B7+1.05)/3.28)</f>
        <v>28.765243902439021</v>
      </c>
      <c r="C9" s="16">
        <f>C4*((0.38*C5+0.21*C7+1.05)/3.28)</f>
        <v>30.269817073170731</v>
      </c>
      <c r="E9" s="15">
        <f>E4*((0.38*E5+0.21*E7+1.05)/3.28)</f>
        <v>28.765243902439021</v>
      </c>
      <c r="F9" s="16">
        <f>F4*((0.38*F5+0.21*F7+1.05)/3.28)</f>
        <v>30.269817073170731</v>
      </c>
      <c r="H9" s="15">
        <f>H4*((0.38*H5+0.21*H7+1.05)/3.28)</f>
        <v>28.765243902439021</v>
      </c>
      <c r="I9" s="16">
        <f>I4*((0.38*I5+0.21*I7+1.05)/3.28)</f>
        <v>30.269817073170731</v>
      </c>
      <c r="J9" s="13"/>
      <c r="K9" s="15">
        <f>K4*((0.38*K5+0.21*K7+1.05)/3.28)</f>
        <v>28.765243902439021</v>
      </c>
      <c r="L9" s="16">
        <f>L4*((0.38*L5+0.21*L7+1.05)/3.28)</f>
        <v>30.269817073170731</v>
      </c>
      <c r="M9" s="31"/>
      <c r="N9" s="225"/>
      <c r="O9" s="9"/>
      <c r="P9" s="12"/>
      <c r="Q9" s="12"/>
    </row>
    <row r="10" spans="1:17" x14ac:dyDescent="0.25">
      <c r="A10" s="1" t="s">
        <v>5</v>
      </c>
      <c r="B10" s="2"/>
      <c r="C10" s="3"/>
      <c r="E10" s="15"/>
      <c r="F10" s="16"/>
      <c r="H10" s="15"/>
      <c r="I10" s="16"/>
      <c r="J10" s="13"/>
      <c r="K10" s="15"/>
      <c r="L10" s="16"/>
      <c r="M10" s="31"/>
      <c r="N10" s="225"/>
      <c r="O10" s="9"/>
      <c r="P10" s="12"/>
      <c r="Q10" s="12"/>
    </row>
    <row r="11" spans="1:17" x14ac:dyDescent="0.25">
      <c r="A11" s="1" t="s">
        <v>26</v>
      </c>
      <c r="B11" s="2">
        <v>0.22</v>
      </c>
      <c r="C11" s="3">
        <v>0.22</v>
      </c>
      <c r="E11" s="15">
        <v>0.22</v>
      </c>
      <c r="F11" s="16">
        <v>0.22</v>
      </c>
      <c r="H11" s="15">
        <v>0.22</v>
      </c>
      <c r="I11" s="16">
        <v>0.22</v>
      </c>
      <c r="J11" s="13"/>
      <c r="K11" s="15">
        <v>0.22</v>
      </c>
      <c r="L11" s="16">
        <v>0.22</v>
      </c>
      <c r="M11" s="31"/>
      <c r="N11" s="225"/>
      <c r="O11" s="9"/>
      <c r="P11" s="9"/>
      <c r="Q11" s="9"/>
    </row>
    <row r="12" spans="1:17" ht="15.75" customHeight="1" x14ac:dyDescent="0.25">
      <c r="A12" s="205" t="s">
        <v>24</v>
      </c>
      <c r="B12" s="206">
        <v>2.5</v>
      </c>
      <c r="C12" s="207">
        <v>2.5</v>
      </c>
      <c r="D12" s="208"/>
      <c r="E12" s="206">
        <v>2.7</v>
      </c>
      <c r="F12" s="207">
        <v>2.7</v>
      </c>
      <c r="G12" s="119"/>
      <c r="H12" s="206">
        <v>2.4</v>
      </c>
      <c r="I12" s="207">
        <v>2.4</v>
      </c>
      <c r="J12" s="208"/>
      <c r="K12" s="206">
        <v>2.63</v>
      </c>
      <c r="L12" s="207">
        <v>2.63</v>
      </c>
      <c r="M12" s="209"/>
      <c r="N12" s="203"/>
      <c r="O12" s="204"/>
      <c r="P12" s="9"/>
      <c r="Q12" s="9"/>
    </row>
    <row r="13" spans="1:17" x14ac:dyDescent="0.25">
      <c r="A13" s="205" t="s">
        <v>23</v>
      </c>
      <c r="B13" s="206">
        <v>5</v>
      </c>
      <c r="C13" s="207">
        <v>5</v>
      </c>
      <c r="D13" s="208"/>
      <c r="E13" s="206">
        <v>4.0999999999999996</v>
      </c>
      <c r="F13" s="207">
        <v>4.0999999999999996</v>
      </c>
      <c r="G13" s="119"/>
      <c r="H13" s="206">
        <v>4.8</v>
      </c>
      <c r="I13" s="207">
        <v>4.8</v>
      </c>
      <c r="J13" s="208"/>
      <c r="K13" s="206">
        <v>4.42</v>
      </c>
      <c r="L13" s="207">
        <v>4.42</v>
      </c>
      <c r="M13" s="210"/>
      <c r="N13" s="203"/>
      <c r="O13" s="204"/>
      <c r="P13" s="20"/>
      <c r="Q13" s="20"/>
    </row>
    <row r="14" spans="1:17" s="13" customFormat="1" x14ac:dyDescent="0.25">
      <c r="A14" s="37" t="s">
        <v>25</v>
      </c>
      <c r="B14" s="38"/>
      <c r="C14" s="39"/>
      <c r="D14" s="40"/>
      <c r="E14" s="38"/>
      <c r="F14" s="39"/>
      <c r="H14" s="38"/>
      <c r="I14" s="39"/>
      <c r="J14" s="40"/>
      <c r="K14" s="38"/>
      <c r="L14" s="39"/>
      <c r="M14" s="21"/>
      <c r="N14" s="203"/>
      <c r="O14" s="204"/>
      <c r="P14" s="20"/>
      <c r="Q14" s="20"/>
    </row>
    <row r="15" spans="1:17" s="13" customFormat="1" x14ac:dyDescent="0.25">
      <c r="A15" s="37" t="s">
        <v>13</v>
      </c>
      <c r="B15" s="35">
        <v>270000</v>
      </c>
      <c r="C15" s="36">
        <v>230000</v>
      </c>
      <c r="E15" s="35">
        <v>270000</v>
      </c>
      <c r="F15" s="36">
        <v>230000</v>
      </c>
      <c r="H15" s="35">
        <v>270000</v>
      </c>
      <c r="I15" s="36">
        <v>230000</v>
      </c>
      <c r="K15" s="35">
        <v>270000</v>
      </c>
      <c r="L15" s="36">
        <v>230000</v>
      </c>
      <c r="M15" s="31"/>
      <c r="N15" s="230"/>
      <c r="O15" s="231"/>
      <c r="P15" s="20"/>
      <c r="Q15" s="20"/>
    </row>
    <row r="16" spans="1:17" x14ac:dyDescent="0.25">
      <c r="A16" s="14" t="s">
        <v>29</v>
      </c>
      <c r="B16" s="35"/>
      <c r="C16" s="36"/>
      <c r="D16" s="13"/>
      <c r="E16" s="35"/>
      <c r="F16" s="36"/>
      <c r="H16" s="35"/>
      <c r="I16" s="36"/>
      <c r="J16" s="13"/>
      <c r="K16" s="35"/>
      <c r="L16" s="36"/>
      <c r="M16" s="31"/>
      <c r="N16" s="230"/>
      <c r="O16" s="231"/>
      <c r="P16" s="12"/>
      <c r="Q16" s="12"/>
    </row>
    <row r="17" spans="1:17" x14ac:dyDescent="0.25">
      <c r="A17" s="24" t="s">
        <v>28</v>
      </c>
      <c r="B17" s="22"/>
      <c r="C17" s="23"/>
      <c r="D17" s="13"/>
      <c r="E17" s="15"/>
      <c r="F17" s="16"/>
      <c r="H17" s="22"/>
      <c r="I17" s="23"/>
      <c r="J17" s="13"/>
      <c r="K17" s="15"/>
      <c r="L17" s="16"/>
      <c r="M17" s="12"/>
      <c r="N17" s="225"/>
      <c r="O17" s="9"/>
      <c r="P17" s="12"/>
      <c r="Q17" s="12"/>
    </row>
    <row r="18" spans="1:17" s="13" customFormat="1" x14ac:dyDescent="0.25">
      <c r="A18" s="24" t="s">
        <v>20</v>
      </c>
      <c r="B18" s="22"/>
      <c r="C18" s="23"/>
      <c r="E18" s="15"/>
      <c r="F18" s="16"/>
      <c r="H18" s="22"/>
      <c r="I18" s="23"/>
      <c r="K18" s="15"/>
      <c r="L18" s="16"/>
      <c r="M18" s="30"/>
      <c r="N18" s="225" t="s">
        <v>192</v>
      </c>
      <c r="O18" s="9" t="s">
        <v>193</v>
      </c>
      <c r="P18" s="30"/>
      <c r="Q18" s="30"/>
    </row>
    <row r="19" spans="1:17" x14ac:dyDescent="0.25">
      <c r="A19" s="24" t="s">
        <v>194</v>
      </c>
      <c r="B19" s="215">
        <f>B29</f>
        <v>22.14</v>
      </c>
      <c r="C19" s="216">
        <f>C29+C17</f>
        <v>23.938874999999999</v>
      </c>
      <c r="D19" s="217"/>
      <c r="E19" s="215">
        <f>E29</f>
        <v>22.39461</v>
      </c>
      <c r="F19" s="216">
        <f>F29</f>
        <v>24.121530000000003</v>
      </c>
      <c r="G19" s="217"/>
      <c r="H19" s="215">
        <f>H29</f>
        <v>22.228560000000002</v>
      </c>
      <c r="I19" s="216">
        <f>I29+I17</f>
        <v>23.955480000000001</v>
      </c>
      <c r="J19" s="217"/>
      <c r="K19" s="215">
        <f>K29</f>
        <v>22.303836</v>
      </c>
      <c r="L19" s="216">
        <f>L29</f>
        <v>24.056770499999999</v>
      </c>
      <c r="M19" s="218"/>
      <c r="N19" s="226">
        <f>MIN(B19:L19)</f>
        <v>22.14</v>
      </c>
      <c r="O19" s="28">
        <f>MAX(B19:L19)</f>
        <v>24.121530000000003</v>
      </c>
      <c r="P19" s="9"/>
      <c r="Q19" s="9"/>
    </row>
    <row r="20" spans="1:17" x14ac:dyDescent="0.25">
      <c r="A20" s="47" t="s">
        <v>10</v>
      </c>
      <c r="B20" s="219">
        <f>B4*B19/100</f>
        <v>6.6420000000000003</v>
      </c>
      <c r="C20" s="220">
        <f>C4*C19/100</f>
        <v>7.1816624999999998</v>
      </c>
      <c r="D20" s="221"/>
      <c r="E20" s="219">
        <f>E4*E19/100</f>
        <v>6.7183830000000002</v>
      </c>
      <c r="F20" s="220">
        <f>F4*F19/100</f>
        <v>7.2364590000000009</v>
      </c>
      <c r="G20" s="221"/>
      <c r="H20" s="219">
        <f>H4*H19/100</f>
        <v>6.6685680000000005</v>
      </c>
      <c r="I20" s="220">
        <f>I4*I19/100</f>
        <v>7.1866440000000003</v>
      </c>
      <c r="J20" s="221"/>
      <c r="K20" s="219">
        <f>K4*K19/100</f>
        <v>6.6911508</v>
      </c>
      <c r="L20" s="220">
        <f>L4*L19/100</f>
        <v>7.2170311500000004</v>
      </c>
      <c r="M20" s="222"/>
      <c r="N20" s="226">
        <f>MIN(B20:L20)</f>
        <v>6.6420000000000003</v>
      </c>
      <c r="O20" s="28">
        <f>MAX(B20:L20)</f>
        <v>7.2364590000000009</v>
      </c>
      <c r="P20" s="9"/>
      <c r="Q20" s="9"/>
    </row>
    <row r="21" spans="1:17" x14ac:dyDescent="0.25">
      <c r="A21" s="25"/>
      <c r="B21" s="26"/>
      <c r="C21" s="27"/>
      <c r="E21" s="20"/>
      <c r="F21" s="20"/>
      <c r="H21" s="26"/>
      <c r="I21" s="27"/>
      <c r="J21" s="13"/>
      <c r="K21" s="20"/>
      <c r="L21" s="20"/>
      <c r="M21" s="21"/>
      <c r="N21" s="20"/>
      <c r="O21" s="20"/>
      <c r="P21" s="20"/>
      <c r="Q21" s="20"/>
    </row>
    <row r="22" spans="1:17" x14ac:dyDescent="0.25">
      <c r="A22" t="s">
        <v>6</v>
      </c>
      <c r="E22" s="13"/>
      <c r="F22" s="13"/>
      <c r="H22" s="13"/>
      <c r="I22" s="13"/>
      <c r="J22" s="13"/>
      <c r="K22" s="13"/>
      <c r="L22" s="13"/>
      <c r="M22" s="12"/>
      <c r="N22" s="93"/>
      <c r="O22" s="93"/>
      <c r="P22" s="10"/>
      <c r="Q22" s="10"/>
    </row>
    <row r="23" spans="1:17" x14ac:dyDescent="0.25">
      <c r="A23" t="s">
        <v>7</v>
      </c>
      <c r="E23" s="13"/>
      <c r="F23" s="13"/>
      <c r="H23" s="13"/>
      <c r="I23" s="13"/>
      <c r="J23" s="13"/>
      <c r="K23" s="13"/>
      <c r="L23" s="13"/>
      <c r="M23" s="10"/>
      <c r="N23" s="93"/>
      <c r="O23" s="93"/>
      <c r="P23" s="10"/>
      <c r="Q23" s="10"/>
    </row>
    <row r="24" spans="1:17" x14ac:dyDescent="0.25">
      <c r="A24" t="s">
        <v>8</v>
      </c>
      <c r="B24" s="223">
        <f>B11*100</f>
        <v>22</v>
      </c>
      <c r="C24" s="217">
        <f>C11*100</f>
        <v>22</v>
      </c>
      <c r="D24" s="93"/>
      <c r="E24" s="223">
        <f>E11*100</f>
        <v>22</v>
      </c>
      <c r="F24" s="217">
        <f>F11*100</f>
        <v>22</v>
      </c>
      <c r="G24" s="93"/>
      <c r="H24" s="223">
        <f>H11*100</f>
        <v>22</v>
      </c>
      <c r="I24" s="217">
        <f>I11*100</f>
        <v>22</v>
      </c>
      <c r="J24" s="93"/>
      <c r="K24" s="223">
        <f>K11*100</f>
        <v>22</v>
      </c>
      <c r="L24" s="217">
        <f>L11*100</f>
        <v>22</v>
      </c>
      <c r="M24" s="10"/>
      <c r="N24" s="232"/>
      <c r="O24" s="93"/>
      <c r="P24" s="10"/>
      <c r="Q24" s="10"/>
    </row>
    <row r="25" spans="1:17" x14ac:dyDescent="0.25">
      <c r="A25" t="s">
        <v>14</v>
      </c>
      <c r="B25" s="4">
        <f>(B5-4)*B12</f>
        <v>-0.50000000000000044</v>
      </c>
      <c r="C25" s="17">
        <f>(C5-4)*C12</f>
        <v>0.37500000000000089</v>
      </c>
      <c r="E25" s="17">
        <f>(E5-4)*E12</f>
        <v>-0.54000000000000048</v>
      </c>
      <c r="F25" s="17">
        <f>(F5-4)*F12</f>
        <v>0.40500000000000097</v>
      </c>
      <c r="H25" s="17">
        <f>(H5-4)*H12</f>
        <v>-0.48000000000000043</v>
      </c>
      <c r="I25" s="17">
        <f>(I5-4)*I12</f>
        <v>0.36000000000000082</v>
      </c>
      <c r="J25" s="13"/>
      <c r="K25" s="17">
        <f>(K5-4)*K12</f>
        <v>-0.52600000000000047</v>
      </c>
      <c r="L25" s="17">
        <f>(L5-4)*L12</f>
        <v>0.39450000000000091</v>
      </c>
      <c r="M25" s="10"/>
      <c r="N25" s="93"/>
      <c r="O25" s="93"/>
      <c r="P25" s="10"/>
      <c r="Q25" s="10"/>
    </row>
    <row r="26" spans="1:17" x14ac:dyDescent="0.25">
      <c r="A26" t="s">
        <v>15</v>
      </c>
      <c r="B26" s="4">
        <f>(B7-3.4)*B13</f>
        <v>-1.4999999999999991</v>
      </c>
      <c r="C26" s="17">
        <f>(C7-3.4)*C13</f>
        <v>-0.74999999999999956</v>
      </c>
      <c r="E26" s="17">
        <f>(E7-3.4)*E13</f>
        <v>-1.2299999999999991</v>
      </c>
      <c r="F26" s="17">
        <f>(F7-3.4)*F13</f>
        <v>-0.61499999999999955</v>
      </c>
      <c r="H26" s="17">
        <f>(H7-3.4)*H13</f>
        <v>-1.4399999999999991</v>
      </c>
      <c r="I26" s="17">
        <f>(I7-3.4)*I13</f>
        <v>-0.71999999999999953</v>
      </c>
      <c r="J26" s="13"/>
      <c r="K26" s="17">
        <f>(K7-3.4)*K13</f>
        <v>-1.3259999999999992</v>
      </c>
      <c r="L26" s="17">
        <f>(L7-3.4)*L13</f>
        <v>-0.66299999999999959</v>
      </c>
      <c r="M26" s="10"/>
      <c r="N26" s="93"/>
      <c r="O26" s="93"/>
      <c r="P26" s="10"/>
      <c r="Q26" s="10"/>
    </row>
    <row r="27" spans="1:17" x14ac:dyDescent="0.25">
      <c r="A27" t="s">
        <v>9</v>
      </c>
      <c r="B27" s="5">
        <f>SUM(B24:B26)</f>
        <v>20</v>
      </c>
      <c r="C27" s="5">
        <f>SUM(C24:C26)</f>
        <v>21.625</v>
      </c>
      <c r="E27" s="18">
        <f>SUM(E24:E26)</f>
        <v>20.23</v>
      </c>
      <c r="F27" s="18">
        <f>SUM(F24:F26)</f>
        <v>21.790000000000003</v>
      </c>
      <c r="H27" s="18">
        <f>SUM(H24:H26)</f>
        <v>20.080000000000002</v>
      </c>
      <c r="I27" s="18">
        <f>SUM(I24:I26)</f>
        <v>21.64</v>
      </c>
      <c r="J27" s="13"/>
      <c r="K27" s="18">
        <f>SUM(K24:K26)</f>
        <v>20.148</v>
      </c>
      <c r="L27" s="18">
        <f>SUM(L24:L26)</f>
        <v>21.7315</v>
      </c>
      <c r="M27" s="10"/>
      <c r="N27" s="232"/>
      <c r="O27" s="232"/>
      <c r="P27" s="10"/>
      <c r="Q27" s="10"/>
    </row>
    <row r="28" spans="1:17" x14ac:dyDescent="0.25">
      <c r="A28" s="6">
        <v>0.107</v>
      </c>
      <c r="B28" s="5">
        <f>B27*10.7/100</f>
        <v>2.14</v>
      </c>
      <c r="C28" s="5">
        <f>C27*10.7/100</f>
        <v>2.3138749999999999</v>
      </c>
      <c r="E28" s="18">
        <f>E27*10.7/100</f>
        <v>2.1646099999999997</v>
      </c>
      <c r="F28" s="18">
        <f>F27*10.7/100</f>
        <v>2.3315300000000003</v>
      </c>
      <c r="H28" s="18">
        <f>H27*10.7/100</f>
        <v>2.1485599999999998</v>
      </c>
      <c r="I28" s="18">
        <f>I27*10.7/100</f>
        <v>2.31548</v>
      </c>
      <c r="J28" s="13"/>
      <c r="K28" s="18">
        <f>K27*10.7/100</f>
        <v>2.1558359999999999</v>
      </c>
      <c r="L28" s="18">
        <f>L27*10.7/100</f>
        <v>2.3252705000000002</v>
      </c>
      <c r="M28" s="10"/>
      <c r="N28" s="232"/>
      <c r="O28" s="232"/>
      <c r="P28" s="10"/>
      <c r="Q28" s="10"/>
    </row>
    <row r="29" spans="1:17" x14ac:dyDescent="0.25">
      <c r="A29" s="7" t="s">
        <v>195</v>
      </c>
      <c r="B29" s="8">
        <f>SUM(B27:B28)</f>
        <v>22.14</v>
      </c>
      <c r="C29" s="8">
        <f>SUM(C27:C28)</f>
        <v>23.938874999999999</v>
      </c>
      <c r="E29" s="19">
        <f>SUM(E27:E28)</f>
        <v>22.39461</v>
      </c>
      <c r="F29" s="19">
        <f>SUM(F27:F28)</f>
        <v>24.121530000000003</v>
      </c>
      <c r="H29" s="19">
        <f>SUM(H27:H28)</f>
        <v>22.228560000000002</v>
      </c>
      <c r="I29" s="19">
        <f>SUM(I27:I28)</f>
        <v>23.955480000000001</v>
      </c>
      <c r="J29" s="13"/>
      <c r="K29" s="19">
        <f>SUM(K27:K28)</f>
        <v>22.303836</v>
      </c>
      <c r="L29" s="19">
        <f>SUM(L27:L28)</f>
        <v>24.056770499999999</v>
      </c>
      <c r="M29" s="10"/>
      <c r="N29" s="226">
        <f>MIN(B29:L29)</f>
        <v>22.14</v>
      </c>
      <c r="O29" s="28">
        <f>MAX(B29:L29)</f>
        <v>24.121530000000003</v>
      </c>
      <c r="P29" s="32"/>
      <c r="Q29" s="32"/>
    </row>
    <row r="30" spans="1:17" x14ac:dyDescent="0.25">
      <c r="A30" t="s">
        <v>196</v>
      </c>
      <c r="L30" s="10"/>
      <c r="M30" s="33"/>
      <c r="N30" s="32"/>
      <c r="O30" s="32"/>
      <c r="P30" s="32"/>
      <c r="Q30" s="32"/>
    </row>
    <row r="31" spans="1:17" x14ac:dyDescent="0.25">
      <c r="L31" s="10"/>
      <c r="M31" s="11"/>
      <c r="N31" s="34"/>
      <c r="O31" s="34"/>
      <c r="P31" s="34"/>
      <c r="Q31" s="34"/>
    </row>
    <row r="33" spans="1:12" ht="15.75" thickBot="1" x14ac:dyDescent="0.3"/>
    <row r="34" spans="1:12" x14ac:dyDescent="0.25">
      <c r="A34" s="233" t="s">
        <v>199</v>
      </c>
      <c r="B34" s="78"/>
      <c r="C34" s="78"/>
      <c r="D34" s="78"/>
      <c r="E34" s="78"/>
      <c r="F34" s="78"/>
      <c r="G34" s="78"/>
      <c r="H34" s="78"/>
      <c r="I34" s="78"/>
      <c r="J34" s="78"/>
      <c r="K34" s="78"/>
      <c r="L34" s="79"/>
    </row>
    <row r="35" spans="1:12" x14ac:dyDescent="0.25">
      <c r="A35" s="87" t="s">
        <v>197</v>
      </c>
      <c r="B35" s="81"/>
      <c r="C35" s="81"/>
      <c r="D35" s="81"/>
      <c r="E35" s="81"/>
      <c r="F35" s="81"/>
      <c r="G35" s="81"/>
      <c r="H35" s="81"/>
      <c r="I35" s="81"/>
      <c r="J35" s="81"/>
      <c r="K35" s="81"/>
      <c r="L35" s="83"/>
    </row>
    <row r="36" spans="1:12" ht="15.75" thickBot="1" x14ac:dyDescent="0.3">
      <c r="A36" s="88" t="s">
        <v>198</v>
      </c>
      <c r="B36" s="89"/>
      <c r="C36" s="89"/>
      <c r="D36" s="89"/>
      <c r="E36" s="89"/>
      <c r="F36" s="89"/>
      <c r="G36" s="89"/>
      <c r="H36" s="89"/>
      <c r="I36" s="89"/>
      <c r="J36" s="89"/>
      <c r="K36" s="89"/>
      <c r="L36" s="91"/>
    </row>
    <row r="38" spans="1:12" x14ac:dyDescent="0.25">
      <c r="A38" t="s">
        <v>200</v>
      </c>
    </row>
    <row r="39" spans="1:12" x14ac:dyDescent="0.25">
      <c r="A39" t="s">
        <v>201</v>
      </c>
    </row>
  </sheetData>
  <pageMargins left="0.7" right="0.7" top="0.78740157499999996" bottom="0.78740157499999996" header="0.3" footer="0.3"/>
  <pageSetup paperSize="9" scale="80" orientation="landscape" r:id="rId1"/>
  <headerFooter>
    <oddHeader>&amp;LInnovationsteam Milch Hessen
&amp;RSeptember 2016</oddHeader>
    <oddFooter>&amp;CFett und Eiweißbewertung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view="pageBreakPreview" zoomScale="60" zoomScaleNormal="100" workbookViewId="0">
      <selection activeCell="S51" sqref="S51"/>
    </sheetView>
  </sheetViews>
  <sheetFormatPr baseColWidth="10" defaultRowHeight="15" x14ac:dyDescent="0.25"/>
  <cols>
    <col min="1" max="1" width="12" style="13" bestFit="1" customWidth="1"/>
    <col min="2" max="2" width="14.5703125" style="13" customWidth="1"/>
    <col min="3" max="4" width="10.28515625" style="13" customWidth="1"/>
    <col min="5" max="5" width="10.42578125" style="13" bestFit="1" customWidth="1"/>
    <col min="6" max="6" width="10.28515625" style="13" customWidth="1"/>
    <col min="7" max="7" width="13.7109375" style="13" customWidth="1"/>
    <col min="8" max="8" width="11.42578125" style="13" bestFit="1" customWidth="1"/>
    <col min="9" max="256" width="10.28515625" style="13" customWidth="1"/>
    <col min="257" max="257" width="12" style="13" bestFit="1" customWidth="1"/>
    <col min="258" max="258" width="12.85546875" style="13" customWidth="1"/>
    <col min="259" max="260" width="10.28515625" style="13" customWidth="1"/>
    <col min="261" max="261" width="10.42578125" style="13" bestFit="1" customWidth="1"/>
    <col min="262" max="262" width="10.28515625" style="13" customWidth="1"/>
    <col min="263" max="263" width="13.7109375" style="13" customWidth="1"/>
    <col min="264" max="264" width="11.42578125" style="13" bestFit="1" customWidth="1"/>
    <col min="265" max="512" width="10.28515625" style="13" customWidth="1"/>
    <col min="513" max="513" width="12" style="13" bestFit="1" customWidth="1"/>
    <col min="514" max="514" width="12.85546875" style="13" customWidth="1"/>
    <col min="515" max="516" width="10.28515625" style="13" customWidth="1"/>
    <col min="517" max="517" width="10.42578125" style="13" bestFit="1" customWidth="1"/>
    <col min="518" max="518" width="10.28515625" style="13" customWidth="1"/>
    <col min="519" max="519" width="13.7109375" style="13" customWidth="1"/>
    <col min="520" max="520" width="11.42578125" style="13" bestFit="1" customWidth="1"/>
    <col min="521" max="768" width="10.28515625" style="13" customWidth="1"/>
    <col min="769" max="769" width="12" style="13" bestFit="1" customWidth="1"/>
    <col min="770" max="770" width="12.85546875" style="13" customWidth="1"/>
    <col min="771" max="772" width="10.28515625" style="13" customWidth="1"/>
    <col min="773" max="773" width="10.42578125" style="13" bestFit="1" customWidth="1"/>
    <col min="774" max="774" width="10.28515625" style="13" customWidth="1"/>
    <col min="775" max="775" width="13.7109375" style="13" customWidth="1"/>
    <col min="776" max="776" width="11.42578125" style="13" bestFit="1" customWidth="1"/>
    <col min="777" max="1024" width="10.28515625" style="13" customWidth="1"/>
    <col min="1025" max="1025" width="12" style="13" bestFit="1" customWidth="1"/>
    <col min="1026" max="1026" width="12.85546875" style="13" customWidth="1"/>
    <col min="1027" max="1028" width="10.28515625" style="13" customWidth="1"/>
    <col min="1029" max="1029" width="10.42578125" style="13" bestFit="1" customWidth="1"/>
    <col min="1030" max="1030" width="10.28515625" style="13" customWidth="1"/>
    <col min="1031" max="1031" width="13.7109375" style="13" customWidth="1"/>
    <col min="1032" max="1032" width="11.42578125" style="13" bestFit="1" customWidth="1"/>
    <col min="1033" max="1280" width="10.28515625" style="13" customWidth="1"/>
    <col min="1281" max="1281" width="12" style="13" bestFit="1" customWidth="1"/>
    <col min="1282" max="1282" width="12.85546875" style="13" customWidth="1"/>
    <col min="1283" max="1284" width="10.28515625" style="13" customWidth="1"/>
    <col min="1285" max="1285" width="10.42578125" style="13" bestFit="1" customWidth="1"/>
    <col min="1286" max="1286" width="10.28515625" style="13" customWidth="1"/>
    <col min="1287" max="1287" width="13.7109375" style="13" customWidth="1"/>
    <col min="1288" max="1288" width="11.42578125" style="13" bestFit="1" customWidth="1"/>
    <col min="1289" max="1536" width="10.28515625" style="13" customWidth="1"/>
    <col min="1537" max="1537" width="12" style="13" bestFit="1" customWidth="1"/>
    <col min="1538" max="1538" width="12.85546875" style="13" customWidth="1"/>
    <col min="1539" max="1540" width="10.28515625" style="13" customWidth="1"/>
    <col min="1541" max="1541" width="10.42578125" style="13" bestFit="1" customWidth="1"/>
    <col min="1542" max="1542" width="10.28515625" style="13" customWidth="1"/>
    <col min="1543" max="1543" width="13.7109375" style="13" customWidth="1"/>
    <col min="1544" max="1544" width="11.42578125" style="13" bestFit="1" customWidth="1"/>
    <col min="1545" max="1792" width="10.28515625" style="13" customWidth="1"/>
    <col min="1793" max="1793" width="12" style="13" bestFit="1" customWidth="1"/>
    <col min="1794" max="1794" width="12.85546875" style="13" customWidth="1"/>
    <col min="1795" max="1796" width="10.28515625" style="13" customWidth="1"/>
    <col min="1797" max="1797" width="10.42578125" style="13" bestFit="1" customWidth="1"/>
    <col min="1798" max="1798" width="10.28515625" style="13" customWidth="1"/>
    <col min="1799" max="1799" width="13.7109375" style="13" customWidth="1"/>
    <col min="1800" max="1800" width="11.42578125" style="13" bestFit="1" customWidth="1"/>
    <col min="1801" max="2048" width="10.28515625" style="13" customWidth="1"/>
    <col min="2049" max="2049" width="12" style="13" bestFit="1" customWidth="1"/>
    <col min="2050" max="2050" width="12.85546875" style="13" customWidth="1"/>
    <col min="2051" max="2052" width="10.28515625" style="13" customWidth="1"/>
    <col min="2053" max="2053" width="10.42578125" style="13" bestFit="1" customWidth="1"/>
    <col min="2054" max="2054" width="10.28515625" style="13" customWidth="1"/>
    <col min="2055" max="2055" width="13.7109375" style="13" customWidth="1"/>
    <col min="2056" max="2056" width="11.42578125" style="13" bestFit="1" customWidth="1"/>
    <col min="2057" max="2304" width="10.28515625" style="13" customWidth="1"/>
    <col min="2305" max="2305" width="12" style="13" bestFit="1" customWidth="1"/>
    <col min="2306" max="2306" width="12.85546875" style="13" customWidth="1"/>
    <col min="2307" max="2308" width="10.28515625" style="13" customWidth="1"/>
    <col min="2309" max="2309" width="10.42578125" style="13" bestFit="1" customWidth="1"/>
    <col min="2310" max="2310" width="10.28515625" style="13" customWidth="1"/>
    <col min="2311" max="2311" width="13.7109375" style="13" customWidth="1"/>
    <col min="2312" max="2312" width="11.42578125" style="13" bestFit="1" customWidth="1"/>
    <col min="2313" max="2560" width="10.28515625" style="13" customWidth="1"/>
    <col min="2561" max="2561" width="12" style="13" bestFit="1" customWidth="1"/>
    <col min="2562" max="2562" width="12.85546875" style="13" customWidth="1"/>
    <col min="2563" max="2564" width="10.28515625" style="13" customWidth="1"/>
    <col min="2565" max="2565" width="10.42578125" style="13" bestFit="1" customWidth="1"/>
    <col min="2566" max="2566" width="10.28515625" style="13" customWidth="1"/>
    <col min="2567" max="2567" width="13.7109375" style="13" customWidth="1"/>
    <col min="2568" max="2568" width="11.42578125" style="13" bestFit="1" customWidth="1"/>
    <col min="2569" max="2816" width="10.28515625" style="13" customWidth="1"/>
    <col min="2817" max="2817" width="12" style="13" bestFit="1" customWidth="1"/>
    <col min="2818" max="2818" width="12.85546875" style="13" customWidth="1"/>
    <col min="2819" max="2820" width="10.28515625" style="13" customWidth="1"/>
    <col min="2821" max="2821" width="10.42578125" style="13" bestFit="1" customWidth="1"/>
    <col min="2822" max="2822" width="10.28515625" style="13" customWidth="1"/>
    <col min="2823" max="2823" width="13.7109375" style="13" customWidth="1"/>
    <col min="2824" max="2824" width="11.42578125" style="13" bestFit="1" customWidth="1"/>
    <col min="2825" max="3072" width="10.28515625" style="13" customWidth="1"/>
    <col min="3073" max="3073" width="12" style="13" bestFit="1" customWidth="1"/>
    <col min="3074" max="3074" width="12.85546875" style="13" customWidth="1"/>
    <col min="3075" max="3076" width="10.28515625" style="13" customWidth="1"/>
    <col min="3077" max="3077" width="10.42578125" style="13" bestFit="1" customWidth="1"/>
    <col min="3078" max="3078" width="10.28515625" style="13" customWidth="1"/>
    <col min="3079" max="3079" width="13.7109375" style="13" customWidth="1"/>
    <col min="3080" max="3080" width="11.42578125" style="13" bestFit="1" customWidth="1"/>
    <col min="3081" max="3328" width="10.28515625" style="13" customWidth="1"/>
    <col min="3329" max="3329" width="12" style="13" bestFit="1" customWidth="1"/>
    <col min="3330" max="3330" width="12.85546875" style="13" customWidth="1"/>
    <col min="3331" max="3332" width="10.28515625" style="13" customWidth="1"/>
    <col min="3333" max="3333" width="10.42578125" style="13" bestFit="1" customWidth="1"/>
    <col min="3334" max="3334" width="10.28515625" style="13" customWidth="1"/>
    <col min="3335" max="3335" width="13.7109375" style="13" customWidth="1"/>
    <col min="3336" max="3336" width="11.42578125" style="13" bestFit="1" customWidth="1"/>
    <col min="3337" max="3584" width="10.28515625" style="13" customWidth="1"/>
    <col min="3585" max="3585" width="12" style="13" bestFit="1" customWidth="1"/>
    <col min="3586" max="3586" width="12.85546875" style="13" customWidth="1"/>
    <col min="3587" max="3588" width="10.28515625" style="13" customWidth="1"/>
    <col min="3589" max="3589" width="10.42578125" style="13" bestFit="1" customWidth="1"/>
    <col min="3590" max="3590" width="10.28515625" style="13" customWidth="1"/>
    <col min="3591" max="3591" width="13.7109375" style="13" customWidth="1"/>
    <col min="3592" max="3592" width="11.42578125" style="13" bestFit="1" customWidth="1"/>
    <col min="3593" max="3840" width="10.28515625" style="13" customWidth="1"/>
    <col min="3841" max="3841" width="12" style="13" bestFit="1" customWidth="1"/>
    <col min="3842" max="3842" width="12.85546875" style="13" customWidth="1"/>
    <col min="3843" max="3844" width="10.28515625" style="13" customWidth="1"/>
    <col min="3845" max="3845" width="10.42578125" style="13" bestFit="1" customWidth="1"/>
    <col min="3846" max="3846" width="10.28515625" style="13" customWidth="1"/>
    <col min="3847" max="3847" width="13.7109375" style="13" customWidth="1"/>
    <col min="3848" max="3848" width="11.42578125" style="13" bestFit="1" customWidth="1"/>
    <col min="3849" max="4096" width="10.28515625" style="13" customWidth="1"/>
    <col min="4097" max="4097" width="12" style="13" bestFit="1" customWidth="1"/>
    <col min="4098" max="4098" width="12.85546875" style="13" customWidth="1"/>
    <col min="4099" max="4100" width="10.28515625" style="13" customWidth="1"/>
    <col min="4101" max="4101" width="10.42578125" style="13" bestFit="1" customWidth="1"/>
    <col min="4102" max="4102" width="10.28515625" style="13" customWidth="1"/>
    <col min="4103" max="4103" width="13.7109375" style="13" customWidth="1"/>
    <col min="4104" max="4104" width="11.42578125" style="13" bestFit="1" customWidth="1"/>
    <col min="4105" max="4352" width="10.28515625" style="13" customWidth="1"/>
    <col min="4353" max="4353" width="12" style="13" bestFit="1" customWidth="1"/>
    <col min="4354" max="4354" width="12.85546875" style="13" customWidth="1"/>
    <col min="4355" max="4356" width="10.28515625" style="13" customWidth="1"/>
    <col min="4357" max="4357" width="10.42578125" style="13" bestFit="1" customWidth="1"/>
    <col min="4358" max="4358" width="10.28515625" style="13" customWidth="1"/>
    <col min="4359" max="4359" width="13.7109375" style="13" customWidth="1"/>
    <col min="4360" max="4360" width="11.42578125" style="13" bestFit="1" customWidth="1"/>
    <col min="4361" max="4608" width="10.28515625" style="13" customWidth="1"/>
    <col min="4609" max="4609" width="12" style="13" bestFit="1" customWidth="1"/>
    <col min="4610" max="4610" width="12.85546875" style="13" customWidth="1"/>
    <col min="4611" max="4612" width="10.28515625" style="13" customWidth="1"/>
    <col min="4613" max="4613" width="10.42578125" style="13" bestFit="1" customWidth="1"/>
    <col min="4614" max="4614" width="10.28515625" style="13" customWidth="1"/>
    <col min="4615" max="4615" width="13.7109375" style="13" customWidth="1"/>
    <col min="4616" max="4616" width="11.42578125" style="13" bestFit="1" customWidth="1"/>
    <col min="4617" max="4864" width="10.28515625" style="13" customWidth="1"/>
    <col min="4865" max="4865" width="12" style="13" bestFit="1" customWidth="1"/>
    <col min="4866" max="4866" width="12.85546875" style="13" customWidth="1"/>
    <col min="4867" max="4868" width="10.28515625" style="13" customWidth="1"/>
    <col min="4869" max="4869" width="10.42578125" style="13" bestFit="1" customWidth="1"/>
    <col min="4870" max="4870" width="10.28515625" style="13" customWidth="1"/>
    <col min="4871" max="4871" width="13.7109375" style="13" customWidth="1"/>
    <col min="4872" max="4872" width="11.42578125" style="13" bestFit="1" customWidth="1"/>
    <col min="4873" max="5120" width="10.28515625" style="13" customWidth="1"/>
    <col min="5121" max="5121" width="12" style="13" bestFit="1" customWidth="1"/>
    <col min="5122" max="5122" width="12.85546875" style="13" customWidth="1"/>
    <col min="5123" max="5124" width="10.28515625" style="13" customWidth="1"/>
    <col min="5125" max="5125" width="10.42578125" style="13" bestFit="1" customWidth="1"/>
    <col min="5126" max="5126" width="10.28515625" style="13" customWidth="1"/>
    <col min="5127" max="5127" width="13.7109375" style="13" customWidth="1"/>
    <col min="5128" max="5128" width="11.42578125" style="13" bestFit="1" customWidth="1"/>
    <col min="5129" max="5376" width="10.28515625" style="13" customWidth="1"/>
    <col min="5377" max="5377" width="12" style="13" bestFit="1" customWidth="1"/>
    <col min="5378" max="5378" width="12.85546875" style="13" customWidth="1"/>
    <col min="5379" max="5380" width="10.28515625" style="13" customWidth="1"/>
    <col min="5381" max="5381" width="10.42578125" style="13" bestFit="1" customWidth="1"/>
    <col min="5382" max="5382" width="10.28515625" style="13" customWidth="1"/>
    <col min="5383" max="5383" width="13.7109375" style="13" customWidth="1"/>
    <col min="5384" max="5384" width="11.42578125" style="13" bestFit="1" customWidth="1"/>
    <col min="5385" max="5632" width="10.28515625" style="13" customWidth="1"/>
    <col min="5633" max="5633" width="12" style="13" bestFit="1" customWidth="1"/>
    <col min="5634" max="5634" width="12.85546875" style="13" customWidth="1"/>
    <col min="5635" max="5636" width="10.28515625" style="13" customWidth="1"/>
    <col min="5637" max="5637" width="10.42578125" style="13" bestFit="1" customWidth="1"/>
    <col min="5638" max="5638" width="10.28515625" style="13" customWidth="1"/>
    <col min="5639" max="5639" width="13.7109375" style="13" customWidth="1"/>
    <col min="5640" max="5640" width="11.42578125" style="13" bestFit="1" customWidth="1"/>
    <col min="5641" max="5888" width="10.28515625" style="13" customWidth="1"/>
    <col min="5889" max="5889" width="12" style="13" bestFit="1" customWidth="1"/>
    <col min="5890" max="5890" width="12.85546875" style="13" customWidth="1"/>
    <col min="5891" max="5892" width="10.28515625" style="13" customWidth="1"/>
    <col min="5893" max="5893" width="10.42578125" style="13" bestFit="1" customWidth="1"/>
    <col min="5894" max="5894" width="10.28515625" style="13" customWidth="1"/>
    <col min="5895" max="5895" width="13.7109375" style="13" customWidth="1"/>
    <col min="5896" max="5896" width="11.42578125" style="13" bestFit="1" customWidth="1"/>
    <col min="5897" max="6144" width="10.28515625" style="13" customWidth="1"/>
    <col min="6145" max="6145" width="12" style="13" bestFit="1" customWidth="1"/>
    <col min="6146" max="6146" width="12.85546875" style="13" customWidth="1"/>
    <col min="6147" max="6148" width="10.28515625" style="13" customWidth="1"/>
    <col min="6149" max="6149" width="10.42578125" style="13" bestFit="1" customWidth="1"/>
    <col min="6150" max="6150" width="10.28515625" style="13" customWidth="1"/>
    <col min="6151" max="6151" width="13.7109375" style="13" customWidth="1"/>
    <col min="6152" max="6152" width="11.42578125" style="13" bestFit="1" customWidth="1"/>
    <col min="6153" max="6400" width="10.28515625" style="13" customWidth="1"/>
    <col min="6401" max="6401" width="12" style="13" bestFit="1" customWidth="1"/>
    <col min="6402" max="6402" width="12.85546875" style="13" customWidth="1"/>
    <col min="6403" max="6404" width="10.28515625" style="13" customWidth="1"/>
    <col min="6405" max="6405" width="10.42578125" style="13" bestFit="1" customWidth="1"/>
    <col min="6406" max="6406" width="10.28515625" style="13" customWidth="1"/>
    <col min="6407" max="6407" width="13.7109375" style="13" customWidth="1"/>
    <col min="6408" max="6408" width="11.42578125" style="13" bestFit="1" customWidth="1"/>
    <col min="6409" max="6656" width="10.28515625" style="13" customWidth="1"/>
    <col min="6657" max="6657" width="12" style="13" bestFit="1" customWidth="1"/>
    <col min="6658" max="6658" width="12.85546875" style="13" customWidth="1"/>
    <col min="6659" max="6660" width="10.28515625" style="13" customWidth="1"/>
    <col min="6661" max="6661" width="10.42578125" style="13" bestFit="1" customWidth="1"/>
    <col min="6662" max="6662" width="10.28515625" style="13" customWidth="1"/>
    <col min="6663" max="6663" width="13.7109375" style="13" customWidth="1"/>
    <col min="6664" max="6664" width="11.42578125" style="13" bestFit="1" customWidth="1"/>
    <col min="6665" max="6912" width="10.28515625" style="13" customWidth="1"/>
    <col min="6913" max="6913" width="12" style="13" bestFit="1" customWidth="1"/>
    <col min="6914" max="6914" width="12.85546875" style="13" customWidth="1"/>
    <col min="6915" max="6916" width="10.28515625" style="13" customWidth="1"/>
    <col min="6917" max="6917" width="10.42578125" style="13" bestFit="1" customWidth="1"/>
    <col min="6918" max="6918" width="10.28515625" style="13" customWidth="1"/>
    <col min="6919" max="6919" width="13.7109375" style="13" customWidth="1"/>
    <col min="6920" max="6920" width="11.42578125" style="13" bestFit="1" customWidth="1"/>
    <col min="6921" max="7168" width="10.28515625" style="13" customWidth="1"/>
    <col min="7169" max="7169" width="12" style="13" bestFit="1" customWidth="1"/>
    <col min="7170" max="7170" width="12.85546875" style="13" customWidth="1"/>
    <col min="7171" max="7172" width="10.28515625" style="13" customWidth="1"/>
    <col min="7173" max="7173" width="10.42578125" style="13" bestFit="1" customWidth="1"/>
    <col min="7174" max="7174" width="10.28515625" style="13" customWidth="1"/>
    <col min="7175" max="7175" width="13.7109375" style="13" customWidth="1"/>
    <col min="7176" max="7176" width="11.42578125" style="13" bestFit="1" customWidth="1"/>
    <col min="7177" max="7424" width="10.28515625" style="13" customWidth="1"/>
    <col min="7425" max="7425" width="12" style="13" bestFit="1" customWidth="1"/>
    <col min="7426" max="7426" width="12.85546875" style="13" customWidth="1"/>
    <col min="7427" max="7428" width="10.28515625" style="13" customWidth="1"/>
    <col min="7429" max="7429" width="10.42578125" style="13" bestFit="1" customWidth="1"/>
    <col min="7430" max="7430" width="10.28515625" style="13" customWidth="1"/>
    <col min="7431" max="7431" width="13.7109375" style="13" customWidth="1"/>
    <col min="7432" max="7432" width="11.42578125" style="13" bestFit="1" customWidth="1"/>
    <col min="7433" max="7680" width="10.28515625" style="13" customWidth="1"/>
    <col min="7681" max="7681" width="12" style="13" bestFit="1" customWidth="1"/>
    <col min="7682" max="7682" width="12.85546875" style="13" customWidth="1"/>
    <col min="7683" max="7684" width="10.28515625" style="13" customWidth="1"/>
    <col min="7685" max="7685" width="10.42578125" style="13" bestFit="1" customWidth="1"/>
    <col min="7686" max="7686" width="10.28515625" style="13" customWidth="1"/>
    <col min="7687" max="7687" width="13.7109375" style="13" customWidth="1"/>
    <col min="7688" max="7688" width="11.42578125" style="13" bestFit="1" customWidth="1"/>
    <col min="7689" max="7936" width="10.28515625" style="13" customWidth="1"/>
    <col min="7937" max="7937" width="12" style="13" bestFit="1" customWidth="1"/>
    <col min="7938" max="7938" width="12.85546875" style="13" customWidth="1"/>
    <col min="7939" max="7940" width="10.28515625" style="13" customWidth="1"/>
    <col min="7941" max="7941" width="10.42578125" style="13" bestFit="1" customWidth="1"/>
    <col min="7942" max="7942" width="10.28515625" style="13" customWidth="1"/>
    <col min="7943" max="7943" width="13.7109375" style="13" customWidth="1"/>
    <col min="7944" max="7944" width="11.42578125" style="13" bestFit="1" customWidth="1"/>
    <col min="7945" max="8192" width="10.28515625" style="13" customWidth="1"/>
    <col min="8193" max="8193" width="12" style="13" bestFit="1" customWidth="1"/>
    <col min="8194" max="8194" width="12.85546875" style="13" customWidth="1"/>
    <col min="8195" max="8196" width="10.28515625" style="13" customWidth="1"/>
    <col min="8197" max="8197" width="10.42578125" style="13" bestFit="1" customWidth="1"/>
    <col min="8198" max="8198" width="10.28515625" style="13" customWidth="1"/>
    <col min="8199" max="8199" width="13.7109375" style="13" customWidth="1"/>
    <col min="8200" max="8200" width="11.42578125" style="13" bestFit="1" customWidth="1"/>
    <col min="8201" max="8448" width="10.28515625" style="13" customWidth="1"/>
    <col min="8449" max="8449" width="12" style="13" bestFit="1" customWidth="1"/>
    <col min="8450" max="8450" width="12.85546875" style="13" customWidth="1"/>
    <col min="8451" max="8452" width="10.28515625" style="13" customWidth="1"/>
    <col min="8453" max="8453" width="10.42578125" style="13" bestFit="1" customWidth="1"/>
    <col min="8454" max="8454" width="10.28515625" style="13" customWidth="1"/>
    <col min="8455" max="8455" width="13.7109375" style="13" customWidth="1"/>
    <col min="8456" max="8456" width="11.42578125" style="13" bestFit="1" customWidth="1"/>
    <col min="8457" max="8704" width="10.28515625" style="13" customWidth="1"/>
    <col min="8705" max="8705" width="12" style="13" bestFit="1" customWidth="1"/>
    <col min="8706" max="8706" width="12.85546875" style="13" customWidth="1"/>
    <col min="8707" max="8708" width="10.28515625" style="13" customWidth="1"/>
    <col min="8709" max="8709" width="10.42578125" style="13" bestFit="1" customWidth="1"/>
    <col min="8710" max="8710" width="10.28515625" style="13" customWidth="1"/>
    <col min="8711" max="8711" width="13.7109375" style="13" customWidth="1"/>
    <col min="8712" max="8712" width="11.42578125" style="13" bestFit="1" customWidth="1"/>
    <col min="8713" max="8960" width="10.28515625" style="13" customWidth="1"/>
    <col min="8961" max="8961" width="12" style="13" bestFit="1" customWidth="1"/>
    <col min="8962" max="8962" width="12.85546875" style="13" customWidth="1"/>
    <col min="8963" max="8964" width="10.28515625" style="13" customWidth="1"/>
    <col min="8965" max="8965" width="10.42578125" style="13" bestFit="1" customWidth="1"/>
    <col min="8966" max="8966" width="10.28515625" style="13" customWidth="1"/>
    <col min="8967" max="8967" width="13.7109375" style="13" customWidth="1"/>
    <col min="8968" max="8968" width="11.42578125" style="13" bestFit="1" customWidth="1"/>
    <col min="8969" max="9216" width="10.28515625" style="13" customWidth="1"/>
    <col min="9217" max="9217" width="12" style="13" bestFit="1" customWidth="1"/>
    <col min="9218" max="9218" width="12.85546875" style="13" customWidth="1"/>
    <col min="9219" max="9220" width="10.28515625" style="13" customWidth="1"/>
    <col min="9221" max="9221" width="10.42578125" style="13" bestFit="1" customWidth="1"/>
    <col min="9222" max="9222" width="10.28515625" style="13" customWidth="1"/>
    <col min="9223" max="9223" width="13.7109375" style="13" customWidth="1"/>
    <col min="9224" max="9224" width="11.42578125" style="13" bestFit="1" customWidth="1"/>
    <col min="9225" max="9472" width="10.28515625" style="13" customWidth="1"/>
    <col min="9473" max="9473" width="12" style="13" bestFit="1" customWidth="1"/>
    <col min="9474" max="9474" width="12.85546875" style="13" customWidth="1"/>
    <col min="9475" max="9476" width="10.28515625" style="13" customWidth="1"/>
    <col min="9477" max="9477" width="10.42578125" style="13" bestFit="1" customWidth="1"/>
    <col min="9478" max="9478" width="10.28515625" style="13" customWidth="1"/>
    <col min="9479" max="9479" width="13.7109375" style="13" customWidth="1"/>
    <col min="9480" max="9480" width="11.42578125" style="13" bestFit="1" customWidth="1"/>
    <col min="9481" max="9728" width="10.28515625" style="13" customWidth="1"/>
    <col min="9729" max="9729" width="12" style="13" bestFit="1" customWidth="1"/>
    <col min="9730" max="9730" width="12.85546875" style="13" customWidth="1"/>
    <col min="9731" max="9732" width="10.28515625" style="13" customWidth="1"/>
    <col min="9733" max="9733" width="10.42578125" style="13" bestFit="1" customWidth="1"/>
    <col min="9734" max="9734" width="10.28515625" style="13" customWidth="1"/>
    <col min="9735" max="9735" width="13.7109375" style="13" customWidth="1"/>
    <col min="9736" max="9736" width="11.42578125" style="13" bestFit="1" customWidth="1"/>
    <col min="9737" max="9984" width="10.28515625" style="13" customWidth="1"/>
    <col min="9985" max="9985" width="12" style="13" bestFit="1" customWidth="1"/>
    <col min="9986" max="9986" width="12.85546875" style="13" customWidth="1"/>
    <col min="9987" max="9988" width="10.28515625" style="13" customWidth="1"/>
    <col min="9989" max="9989" width="10.42578125" style="13" bestFit="1" customWidth="1"/>
    <col min="9990" max="9990" width="10.28515625" style="13" customWidth="1"/>
    <col min="9991" max="9991" width="13.7109375" style="13" customWidth="1"/>
    <col min="9992" max="9992" width="11.42578125" style="13" bestFit="1" customWidth="1"/>
    <col min="9993" max="10240" width="10.28515625" style="13" customWidth="1"/>
    <col min="10241" max="10241" width="12" style="13" bestFit="1" customWidth="1"/>
    <col min="10242" max="10242" width="12.85546875" style="13" customWidth="1"/>
    <col min="10243" max="10244" width="10.28515625" style="13" customWidth="1"/>
    <col min="10245" max="10245" width="10.42578125" style="13" bestFit="1" customWidth="1"/>
    <col min="10246" max="10246" width="10.28515625" style="13" customWidth="1"/>
    <col min="10247" max="10247" width="13.7109375" style="13" customWidth="1"/>
    <col min="10248" max="10248" width="11.42578125" style="13" bestFit="1" customWidth="1"/>
    <col min="10249" max="10496" width="10.28515625" style="13" customWidth="1"/>
    <col min="10497" max="10497" width="12" style="13" bestFit="1" customWidth="1"/>
    <col min="10498" max="10498" width="12.85546875" style="13" customWidth="1"/>
    <col min="10499" max="10500" width="10.28515625" style="13" customWidth="1"/>
    <col min="10501" max="10501" width="10.42578125" style="13" bestFit="1" customWidth="1"/>
    <col min="10502" max="10502" width="10.28515625" style="13" customWidth="1"/>
    <col min="10503" max="10503" width="13.7109375" style="13" customWidth="1"/>
    <col min="10504" max="10504" width="11.42578125" style="13" bestFit="1" customWidth="1"/>
    <col min="10505" max="10752" width="10.28515625" style="13" customWidth="1"/>
    <col min="10753" max="10753" width="12" style="13" bestFit="1" customWidth="1"/>
    <col min="10754" max="10754" width="12.85546875" style="13" customWidth="1"/>
    <col min="10755" max="10756" width="10.28515625" style="13" customWidth="1"/>
    <col min="10757" max="10757" width="10.42578125" style="13" bestFit="1" customWidth="1"/>
    <col min="10758" max="10758" width="10.28515625" style="13" customWidth="1"/>
    <col min="10759" max="10759" width="13.7109375" style="13" customWidth="1"/>
    <col min="10760" max="10760" width="11.42578125" style="13" bestFit="1" customWidth="1"/>
    <col min="10761" max="11008" width="10.28515625" style="13" customWidth="1"/>
    <col min="11009" max="11009" width="12" style="13" bestFit="1" customWidth="1"/>
    <col min="11010" max="11010" width="12.85546875" style="13" customWidth="1"/>
    <col min="11011" max="11012" width="10.28515625" style="13" customWidth="1"/>
    <col min="11013" max="11013" width="10.42578125" style="13" bestFit="1" customWidth="1"/>
    <col min="11014" max="11014" width="10.28515625" style="13" customWidth="1"/>
    <col min="11015" max="11015" width="13.7109375" style="13" customWidth="1"/>
    <col min="11016" max="11016" width="11.42578125" style="13" bestFit="1" customWidth="1"/>
    <col min="11017" max="11264" width="10.28515625" style="13" customWidth="1"/>
    <col min="11265" max="11265" width="12" style="13" bestFit="1" customWidth="1"/>
    <col min="11266" max="11266" width="12.85546875" style="13" customWidth="1"/>
    <col min="11267" max="11268" width="10.28515625" style="13" customWidth="1"/>
    <col min="11269" max="11269" width="10.42578125" style="13" bestFit="1" customWidth="1"/>
    <col min="11270" max="11270" width="10.28515625" style="13" customWidth="1"/>
    <col min="11271" max="11271" width="13.7109375" style="13" customWidth="1"/>
    <col min="11272" max="11272" width="11.42578125" style="13" bestFit="1" customWidth="1"/>
    <col min="11273" max="11520" width="10.28515625" style="13" customWidth="1"/>
    <col min="11521" max="11521" width="12" style="13" bestFit="1" customWidth="1"/>
    <col min="11522" max="11522" width="12.85546875" style="13" customWidth="1"/>
    <col min="11523" max="11524" width="10.28515625" style="13" customWidth="1"/>
    <col min="11525" max="11525" width="10.42578125" style="13" bestFit="1" customWidth="1"/>
    <col min="11526" max="11526" width="10.28515625" style="13" customWidth="1"/>
    <col min="11527" max="11527" width="13.7109375" style="13" customWidth="1"/>
    <col min="11528" max="11528" width="11.42578125" style="13" bestFit="1" customWidth="1"/>
    <col min="11529" max="11776" width="10.28515625" style="13" customWidth="1"/>
    <col min="11777" max="11777" width="12" style="13" bestFit="1" customWidth="1"/>
    <col min="11778" max="11778" width="12.85546875" style="13" customWidth="1"/>
    <col min="11779" max="11780" width="10.28515625" style="13" customWidth="1"/>
    <col min="11781" max="11781" width="10.42578125" style="13" bestFit="1" customWidth="1"/>
    <col min="11782" max="11782" width="10.28515625" style="13" customWidth="1"/>
    <col min="11783" max="11783" width="13.7109375" style="13" customWidth="1"/>
    <col min="11784" max="11784" width="11.42578125" style="13" bestFit="1" customWidth="1"/>
    <col min="11785" max="12032" width="10.28515625" style="13" customWidth="1"/>
    <col min="12033" max="12033" width="12" style="13" bestFit="1" customWidth="1"/>
    <col min="12034" max="12034" width="12.85546875" style="13" customWidth="1"/>
    <col min="12035" max="12036" width="10.28515625" style="13" customWidth="1"/>
    <col min="12037" max="12037" width="10.42578125" style="13" bestFit="1" customWidth="1"/>
    <col min="12038" max="12038" width="10.28515625" style="13" customWidth="1"/>
    <col min="12039" max="12039" width="13.7109375" style="13" customWidth="1"/>
    <col min="12040" max="12040" width="11.42578125" style="13" bestFit="1" customWidth="1"/>
    <col min="12041" max="12288" width="10.28515625" style="13" customWidth="1"/>
    <col min="12289" max="12289" width="12" style="13" bestFit="1" customWidth="1"/>
    <col min="12290" max="12290" width="12.85546875" style="13" customWidth="1"/>
    <col min="12291" max="12292" width="10.28515625" style="13" customWidth="1"/>
    <col min="12293" max="12293" width="10.42578125" style="13" bestFit="1" customWidth="1"/>
    <col min="12294" max="12294" width="10.28515625" style="13" customWidth="1"/>
    <col min="12295" max="12295" width="13.7109375" style="13" customWidth="1"/>
    <col min="12296" max="12296" width="11.42578125" style="13" bestFit="1" customWidth="1"/>
    <col min="12297" max="12544" width="10.28515625" style="13" customWidth="1"/>
    <col min="12545" max="12545" width="12" style="13" bestFit="1" customWidth="1"/>
    <col min="12546" max="12546" width="12.85546875" style="13" customWidth="1"/>
    <col min="12547" max="12548" width="10.28515625" style="13" customWidth="1"/>
    <col min="12549" max="12549" width="10.42578125" style="13" bestFit="1" customWidth="1"/>
    <col min="12550" max="12550" width="10.28515625" style="13" customWidth="1"/>
    <col min="12551" max="12551" width="13.7109375" style="13" customWidth="1"/>
    <col min="12552" max="12552" width="11.42578125" style="13" bestFit="1" customWidth="1"/>
    <col min="12553" max="12800" width="10.28515625" style="13" customWidth="1"/>
    <col min="12801" max="12801" width="12" style="13" bestFit="1" customWidth="1"/>
    <col min="12802" max="12802" width="12.85546875" style="13" customWidth="1"/>
    <col min="12803" max="12804" width="10.28515625" style="13" customWidth="1"/>
    <col min="12805" max="12805" width="10.42578125" style="13" bestFit="1" customWidth="1"/>
    <col min="12806" max="12806" width="10.28515625" style="13" customWidth="1"/>
    <col min="12807" max="12807" width="13.7109375" style="13" customWidth="1"/>
    <col min="12808" max="12808" width="11.42578125" style="13" bestFit="1" customWidth="1"/>
    <col min="12809" max="13056" width="10.28515625" style="13" customWidth="1"/>
    <col min="13057" max="13057" width="12" style="13" bestFit="1" customWidth="1"/>
    <col min="13058" max="13058" width="12.85546875" style="13" customWidth="1"/>
    <col min="13059" max="13060" width="10.28515625" style="13" customWidth="1"/>
    <col min="13061" max="13061" width="10.42578125" style="13" bestFit="1" customWidth="1"/>
    <col min="13062" max="13062" width="10.28515625" style="13" customWidth="1"/>
    <col min="13063" max="13063" width="13.7109375" style="13" customWidth="1"/>
    <col min="13064" max="13064" width="11.42578125" style="13" bestFit="1" customWidth="1"/>
    <col min="13065" max="13312" width="10.28515625" style="13" customWidth="1"/>
    <col min="13313" max="13313" width="12" style="13" bestFit="1" customWidth="1"/>
    <col min="13314" max="13314" width="12.85546875" style="13" customWidth="1"/>
    <col min="13315" max="13316" width="10.28515625" style="13" customWidth="1"/>
    <col min="13317" max="13317" width="10.42578125" style="13" bestFit="1" customWidth="1"/>
    <col min="13318" max="13318" width="10.28515625" style="13" customWidth="1"/>
    <col min="13319" max="13319" width="13.7109375" style="13" customWidth="1"/>
    <col min="13320" max="13320" width="11.42578125" style="13" bestFit="1" customWidth="1"/>
    <col min="13321" max="13568" width="10.28515625" style="13" customWidth="1"/>
    <col min="13569" max="13569" width="12" style="13" bestFit="1" customWidth="1"/>
    <col min="13570" max="13570" width="12.85546875" style="13" customWidth="1"/>
    <col min="13571" max="13572" width="10.28515625" style="13" customWidth="1"/>
    <col min="13573" max="13573" width="10.42578125" style="13" bestFit="1" customWidth="1"/>
    <col min="13574" max="13574" width="10.28515625" style="13" customWidth="1"/>
    <col min="13575" max="13575" width="13.7109375" style="13" customWidth="1"/>
    <col min="13576" max="13576" width="11.42578125" style="13" bestFit="1" customWidth="1"/>
    <col min="13577" max="13824" width="10.28515625" style="13" customWidth="1"/>
    <col min="13825" max="13825" width="12" style="13" bestFit="1" customWidth="1"/>
    <col min="13826" max="13826" width="12.85546875" style="13" customWidth="1"/>
    <col min="13827" max="13828" width="10.28515625" style="13" customWidth="1"/>
    <col min="13829" max="13829" width="10.42578125" style="13" bestFit="1" customWidth="1"/>
    <col min="13830" max="13830" width="10.28515625" style="13" customWidth="1"/>
    <col min="13831" max="13831" width="13.7109375" style="13" customWidth="1"/>
    <col min="13832" max="13832" width="11.42578125" style="13" bestFit="1" customWidth="1"/>
    <col min="13833" max="14080" width="10.28515625" style="13" customWidth="1"/>
    <col min="14081" max="14081" width="12" style="13" bestFit="1" customWidth="1"/>
    <col min="14082" max="14082" width="12.85546875" style="13" customWidth="1"/>
    <col min="14083" max="14084" width="10.28515625" style="13" customWidth="1"/>
    <col min="14085" max="14085" width="10.42578125" style="13" bestFit="1" customWidth="1"/>
    <col min="14086" max="14086" width="10.28515625" style="13" customWidth="1"/>
    <col min="14087" max="14087" width="13.7109375" style="13" customWidth="1"/>
    <col min="14088" max="14088" width="11.42578125" style="13" bestFit="1" customWidth="1"/>
    <col min="14089" max="14336" width="10.28515625" style="13" customWidth="1"/>
    <col min="14337" max="14337" width="12" style="13" bestFit="1" customWidth="1"/>
    <col min="14338" max="14338" width="12.85546875" style="13" customWidth="1"/>
    <col min="14339" max="14340" width="10.28515625" style="13" customWidth="1"/>
    <col min="14341" max="14341" width="10.42578125" style="13" bestFit="1" customWidth="1"/>
    <col min="14342" max="14342" width="10.28515625" style="13" customWidth="1"/>
    <col min="14343" max="14343" width="13.7109375" style="13" customWidth="1"/>
    <col min="14344" max="14344" width="11.42578125" style="13" bestFit="1" customWidth="1"/>
    <col min="14345" max="14592" width="10.28515625" style="13" customWidth="1"/>
    <col min="14593" max="14593" width="12" style="13" bestFit="1" customWidth="1"/>
    <col min="14594" max="14594" width="12.85546875" style="13" customWidth="1"/>
    <col min="14595" max="14596" width="10.28515625" style="13" customWidth="1"/>
    <col min="14597" max="14597" width="10.42578125" style="13" bestFit="1" customWidth="1"/>
    <col min="14598" max="14598" width="10.28515625" style="13" customWidth="1"/>
    <col min="14599" max="14599" width="13.7109375" style="13" customWidth="1"/>
    <col min="14600" max="14600" width="11.42578125" style="13" bestFit="1" customWidth="1"/>
    <col min="14601" max="14848" width="10.28515625" style="13" customWidth="1"/>
    <col min="14849" max="14849" width="12" style="13" bestFit="1" customWidth="1"/>
    <col min="14850" max="14850" width="12.85546875" style="13" customWidth="1"/>
    <col min="14851" max="14852" width="10.28515625" style="13" customWidth="1"/>
    <col min="14853" max="14853" width="10.42578125" style="13" bestFit="1" customWidth="1"/>
    <col min="14854" max="14854" width="10.28515625" style="13" customWidth="1"/>
    <col min="14855" max="14855" width="13.7109375" style="13" customWidth="1"/>
    <col min="14856" max="14856" width="11.42578125" style="13" bestFit="1" customWidth="1"/>
    <col min="14857" max="15104" width="10.28515625" style="13" customWidth="1"/>
    <col min="15105" max="15105" width="12" style="13" bestFit="1" customWidth="1"/>
    <col min="15106" max="15106" width="12.85546875" style="13" customWidth="1"/>
    <col min="15107" max="15108" width="10.28515625" style="13" customWidth="1"/>
    <col min="15109" max="15109" width="10.42578125" style="13" bestFit="1" customWidth="1"/>
    <col min="15110" max="15110" width="10.28515625" style="13" customWidth="1"/>
    <col min="15111" max="15111" width="13.7109375" style="13" customWidth="1"/>
    <col min="15112" max="15112" width="11.42578125" style="13" bestFit="1" customWidth="1"/>
    <col min="15113" max="15360" width="10.28515625" style="13" customWidth="1"/>
    <col min="15361" max="15361" width="12" style="13" bestFit="1" customWidth="1"/>
    <col min="15362" max="15362" width="12.85546875" style="13" customWidth="1"/>
    <col min="15363" max="15364" width="10.28515625" style="13" customWidth="1"/>
    <col min="15365" max="15365" width="10.42578125" style="13" bestFit="1" customWidth="1"/>
    <col min="15366" max="15366" width="10.28515625" style="13" customWidth="1"/>
    <col min="15367" max="15367" width="13.7109375" style="13" customWidth="1"/>
    <col min="15368" max="15368" width="11.42578125" style="13" bestFit="1" customWidth="1"/>
    <col min="15369" max="15616" width="10.28515625" style="13" customWidth="1"/>
    <col min="15617" max="15617" width="12" style="13" bestFit="1" customWidth="1"/>
    <col min="15618" max="15618" width="12.85546875" style="13" customWidth="1"/>
    <col min="15619" max="15620" width="10.28515625" style="13" customWidth="1"/>
    <col min="15621" max="15621" width="10.42578125" style="13" bestFit="1" customWidth="1"/>
    <col min="15622" max="15622" width="10.28515625" style="13" customWidth="1"/>
    <col min="15623" max="15623" width="13.7109375" style="13" customWidth="1"/>
    <col min="15624" max="15624" width="11.42578125" style="13" bestFit="1" customWidth="1"/>
    <col min="15625" max="15872" width="10.28515625" style="13" customWidth="1"/>
    <col min="15873" max="15873" width="12" style="13" bestFit="1" customWidth="1"/>
    <col min="15874" max="15874" width="12.85546875" style="13" customWidth="1"/>
    <col min="15875" max="15876" width="10.28515625" style="13" customWidth="1"/>
    <col min="15877" max="15877" width="10.42578125" style="13" bestFit="1" customWidth="1"/>
    <col min="15878" max="15878" width="10.28515625" style="13" customWidth="1"/>
    <col min="15879" max="15879" width="13.7109375" style="13" customWidth="1"/>
    <col min="15880" max="15880" width="11.42578125" style="13" bestFit="1" customWidth="1"/>
    <col min="15881" max="16128" width="10.28515625" style="13" customWidth="1"/>
    <col min="16129" max="16129" width="12" style="13" bestFit="1" customWidth="1"/>
    <col min="16130" max="16130" width="12.85546875" style="13" customWidth="1"/>
    <col min="16131" max="16132" width="10.28515625" style="13" customWidth="1"/>
    <col min="16133" max="16133" width="10.42578125" style="13" bestFit="1" customWidth="1"/>
    <col min="16134" max="16134" width="10.28515625" style="13" customWidth="1"/>
    <col min="16135" max="16135" width="13.7109375" style="13" customWidth="1"/>
    <col min="16136" max="16136" width="11.42578125" style="13" bestFit="1" customWidth="1"/>
    <col min="16137" max="16384" width="10.28515625" style="13" customWidth="1"/>
  </cols>
  <sheetData>
    <row r="1" spans="1:14" ht="15.75" x14ac:dyDescent="0.25">
      <c r="A1" s="76" t="s">
        <v>173</v>
      </c>
      <c r="H1" s="51">
        <f ca="1">NOW()</f>
        <v>42620.57010300926</v>
      </c>
      <c r="J1" s="52" t="s">
        <v>106</v>
      </c>
      <c r="M1" s="52"/>
      <c r="N1" s="120" t="s">
        <v>107</v>
      </c>
    </row>
    <row r="2" spans="1:14" ht="18.75" x14ac:dyDescent="0.3">
      <c r="A2" s="53" t="s">
        <v>91</v>
      </c>
      <c r="B2" s="54"/>
      <c r="C2" s="54"/>
      <c r="F2" s="55" t="s">
        <v>165</v>
      </c>
      <c r="G2" s="56"/>
      <c r="H2" s="56"/>
      <c r="J2" s="52" t="s">
        <v>110</v>
      </c>
      <c r="M2" s="52"/>
    </row>
    <row r="3" spans="1:14" ht="15.75" thickBot="1" x14ac:dyDescent="0.3"/>
    <row r="4" spans="1:14" ht="15.75" x14ac:dyDescent="0.25">
      <c r="A4" s="162">
        <f>A26*A50</f>
        <v>1122.7085999999997</v>
      </c>
      <c r="B4" s="57" t="s">
        <v>30</v>
      </c>
      <c r="C4" s="58" t="s">
        <v>31</v>
      </c>
      <c r="D4" s="59"/>
      <c r="E4" s="59"/>
      <c r="F4" s="59"/>
      <c r="G4" s="59"/>
      <c r="H4" s="59"/>
      <c r="I4" s="59"/>
      <c r="J4" s="60"/>
    </row>
    <row r="5" spans="1:14" ht="15.75" x14ac:dyDescent="0.25">
      <c r="A5" s="163">
        <f>A55/100*H17*365</f>
        <v>5000.3466999999991</v>
      </c>
      <c r="B5" s="61" t="s">
        <v>32</v>
      </c>
      <c r="C5" s="62" t="s">
        <v>33</v>
      </c>
      <c r="D5" s="63"/>
      <c r="E5" s="63"/>
      <c r="F5" s="63"/>
      <c r="G5" s="63"/>
      <c r="H5" s="63"/>
      <c r="I5" s="63"/>
      <c r="J5" s="64"/>
    </row>
    <row r="6" spans="1:14" ht="15.75" x14ac:dyDescent="0.25">
      <c r="A6" s="164">
        <f>A22*A19*365/100*H18</f>
        <v>88.421250000000001</v>
      </c>
      <c r="B6" s="65" t="s">
        <v>34</v>
      </c>
      <c r="C6" s="62" t="s">
        <v>35</v>
      </c>
      <c r="D6" s="66"/>
      <c r="E6" s="66"/>
      <c r="F6" s="66"/>
      <c r="G6" s="66"/>
      <c r="H6" s="66"/>
      <c r="I6" s="66"/>
      <c r="J6" s="64"/>
    </row>
    <row r="7" spans="1:14" ht="16.5" thickBot="1" x14ac:dyDescent="0.3">
      <c r="A7" s="165">
        <f>A61+A58</f>
        <v>6587.15</v>
      </c>
      <c r="B7" s="161" t="s">
        <v>103</v>
      </c>
      <c r="C7" s="68" t="s">
        <v>36</v>
      </c>
      <c r="D7" s="69"/>
      <c r="E7" s="69"/>
      <c r="F7" s="69"/>
      <c r="G7" s="69"/>
      <c r="H7" s="69"/>
      <c r="I7" s="69"/>
      <c r="J7" s="70"/>
    </row>
    <row r="8" spans="1:14" ht="15.75" x14ac:dyDescent="0.25">
      <c r="A8" s="166">
        <f>SUM(A4:A7)</f>
        <v>12798.626549999999</v>
      </c>
      <c r="B8" s="71" t="s">
        <v>37</v>
      </c>
      <c r="C8" s="72"/>
      <c r="D8" s="72"/>
      <c r="E8" s="72"/>
      <c r="F8" s="73"/>
      <c r="G8" s="10"/>
      <c r="H8" s="10"/>
    </row>
    <row r="9" spans="1:14" ht="16.5" thickBot="1" x14ac:dyDescent="0.3">
      <c r="A9" s="167">
        <f>A8/A21</f>
        <v>127.98626549999999</v>
      </c>
      <c r="B9" s="71" t="s">
        <v>38</v>
      </c>
      <c r="C9" s="74"/>
      <c r="D9" s="74"/>
      <c r="E9" s="74"/>
      <c r="F9" s="75"/>
      <c r="G9" s="10"/>
      <c r="H9" s="10"/>
    </row>
    <row r="10" spans="1:14" ht="16.5" thickBot="1" x14ac:dyDescent="0.3">
      <c r="A10" s="76"/>
    </row>
    <row r="11" spans="1:14" ht="15.75" x14ac:dyDescent="0.25">
      <c r="A11" s="77" t="s">
        <v>39</v>
      </c>
      <c r="B11" s="78"/>
      <c r="C11" s="78"/>
      <c r="D11" s="78"/>
      <c r="E11" s="78"/>
      <c r="F11" s="78"/>
      <c r="G11" s="78"/>
      <c r="H11" s="78"/>
      <c r="I11" s="79"/>
    </row>
    <row r="12" spans="1:14" x14ac:dyDescent="0.25">
      <c r="A12" s="80">
        <v>200</v>
      </c>
      <c r="B12" s="81" t="s">
        <v>40</v>
      </c>
      <c r="C12" s="81"/>
      <c r="D12" s="81"/>
      <c r="E12" s="82">
        <v>2</v>
      </c>
      <c r="F12" s="81" t="s">
        <v>41</v>
      </c>
      <c r="G12" s="81"/>
      <c r="H12" s="81"/>
      <c r="I12" s="83"/>
    </row>
    <row r="13" spans="1:14" x14ac:dyDescent="0.25">
      <c r="A13" s="84">
        <v>0.02</v>
      </c>
      <c r="B13" s="81" t="s">
        <v>42</v>
      </c>
      <c r="C13" s="81"/>
      <c r="D13" s="81"/>
      <c r="E13" s="85">
        <f>E12/$A$21</f>
        <v>0.02</v>
      </c>
      <c r="F13" s="63" t="s">
        <v>43</v>
      </c>
      <c r="G13" s="63"/>
      <c r="H13" s="86"/>
      <c r="I13" s="83"/>
    </row>
    <row r="14" spans="1:14" x14ac:dyDescent="0.25">
      <c r="A14" s="87"/>
      <c r="B14" s="81"/>
      <c r="C14" s="81"/>
      <c r="D14" s="81"/>
      <c r="E14" s="82">
        <v>4</v>
      </c>
      <c r="F14" s="81" t="s">
        <v>44</v>
      </c>
      <c r="G14" s="81"/>
      <c r="H14" s="81"/>
      <c r="I14" s="83"/>
    </row>
    <row r="15" spans="1:14" ht="15.75" thickBot="1" x14ac:dyDescent="0.3">
      <c r="A15" s="88"/>
      <c r="B15" s="89"/>
      <c r="C15" s="89"/>
      <c r="D15" s="89"/>
      <c r="E15" s="90">
        <f>E14/$A$21</f>
        <v>0.04</v>
      </c>
      <c r="F15" s="69" t="s">
        <v>45</v>
      </c>
      <c r="G15" s="69"/>
      <c r="H15" s="69"/>
      <c r="I15" s="91"/>
    </row>
    <row r="16" spans="1:14" ht="15.75" x14ac:dyDescent="0.25">
      <c r="A16" s="76" t="s">
        <v>46</v>
      </c>
      <c r="I16" s="76"/>
    </row>
    <row r="17" spans="1:13" x14ac:dyDescent="0.25">
      <c r="A17" s="54">
        <v>27</v>
      </c>
      <c r="B17" s="13" t="s">
        <v>47</v>
      </c>
      <c r="H17" s="92">
        <v>22</v>
      </c>
      <c r="I17" s="13" t="s">
        <v>48</v>
      </c>
    </row>
    <row r="18" spans="1:13" x14ac:dyDescent="0.25">
      <c r="A18" s="86">
        <f>A19-A17</f>
        <v>58</v>
      </c>
      <c r="B18" s="86" t="s">
        <v>49</v>
      </c>
      <c r="C18" s="86"/>
      <c r="H18" s="92">
        <v>0.01</v>
      </c>
      <c r="I18" s="93" t="s">
        <v>92</v>
      </c>
    </row>
    <row r="19" spans="1:13" x14ac:dyDescent="0.25">
      <c r="A19" s="128">
        <v>85</v>
      </c>
      <c r="B19" s="97" t="s">
        <v>51</v>
      </c>
      <c r="C19" s="97"/>
      <c r="D19" s="97"/>
      <c r="E19" s="97"/>
      <c r="H19" s="92">
        <v>15</v>
      </c>
      <c r="I19" s="93" t="s">
        <v>93</v>
      </c>
    </row>
    <row r="20" spans="1:13" x14ac:dyDescent="0.25">
      <c r="A20" s="54">
        <v>15</v>
      </c>
      <c r="B20" s="13" t="s">
        <v>53</v>
      </c>
    </row>
    <row r="21" spans="1:13" ht="15.75" x14ac:dyDescent="0.25">
      <c r="A21" s="94">
        <f>A19+A20</f>
        <v>100</v>
      </c>
      <c r="B21" s="94" t="s">
        <v>54</v>
      </c>
      <c r="C21" s="94"/>
      <c r="D21" s="94"/>
      <c r="H21" s="92">
        <v>1500</v>
      </c>
      <c r="I21" s="13" t="s">
        <v>94</v>
      </c>
    </row>
    <row r="22" spans="1:13" x14ac:dyDescent="0.25">
      <c r="A22" s="54">
        <v>28.5</v>
      </c>
      <c r="B22" s="13" t="s">
        <v>56</v>
      </c>
      <c r="H22" s="92">
        <v>400</v>
      </c>
      <c r="I22" s="13" t="s">
        <v>95</v>
      </c>
    </row>
    <row r="23" spans="1:13" x14ac:dyDescent="0.25">
      <c r="A23" s="54">
        <v>400</v>
      </c>
      <c r="B23" s="93" t="s">
        <v>58</v>
      </c>
      <c r="H23" s="92">
        <f>H21-(H21-H22)/2</f>
        <v>950</v>
      </c>
      <c r="I23" s="13" t="s">
        <v>96</v>
      </c>
      <c r="J23" s="93"/>
      <c r="K23" s="93"/>
      <c r="L23" s="93"/>
    </row>
    <row r="24" spans="1:13" x14ac:dyDescent="0.25">
      <c r="A24" s="95">
        <f>A25/A19</f>
        <v>3.5294117647058823E-2</v>
      </c>
      <c r="B24" s="86" t="s">
        <v>59</v>
      </c>
      <c r="C24" s="86"/>
      <c r="D24" s="86"/>
      <c r="E24" s="86"/>
      <c r="F24" s="86"/>
    </row>
    <row r="25" spans="1:13" x14ac:dyDescent="0.25">
      <c r="A25" s="54">
        <v>3</v>
      </c>
      <c r="B25" s="13" t="s">
        <v>60</v>
      </c>
      <c r="H25" s="92">
        <v>50</v>
      </c>
      <c r="I25" s="13" t="s">
        <v>97</v>
      </c>
    </row>
    <row r="26" spans="1:13" x14ac:dyDescent="0.25">
      <c r="A26" s="96">
        <f>(A24-A13)*A19*12</f>
        <v>15.599999999999998</v>
      </c>
      <c r="B26" s="86" t="s">
        <v>62</v>
      </c>
      <c r="C26" s="86"/>
      <c r="D26" s="86"/>
      <c r="E26" s="86"/>
    </row>
    <row r="27" spans="1:13" x14ac:dyDescent="0.25">
      <c r="A27" s="54">
        <v>4</v>
      </c>
      <c r="B27" s="13" t="s">
        <v>64</v>
      </c>
    </row>
    <row r="28" spans="1:13" x14ac:dyDescent="0.25">
      <c r="A28" s="95">
        <f>A27/$A$21</f>
        <v>0.04</v>
      </c>
      <c r="B28" s="86" t="s">
        <v>65</v>
      </c>
      <c r="C28" s="86"/>
      <c r="D28" s="86"/>
      <c r="E28" s="86"/>
      <c r="H28" s="131">
        <v>30</v>
      </c>
      <c r="I28" s="13" t="s">
        <v>98</v>
      </c>
    </row>
    <row r="29" spans="1:13" x14ac:dyDescent="0.25">
      <c r="A29" s="54">
        <v>9</v>
      </c>
      <c r="B29" s="13" t="s">
        <v>44</v>
      </c>
      <c r="H29" s="132">
        <v>100</v>
      </c>
      <c r="I29" s="97" t="s">
        <v>99</v>
      </c>
      <c r="J29" s="97"/>
      <c r="K29" s="97"/>
      <c r="L29" s="97"/>
      <c r="M29" s="97"/>
    </row>
    <row r="30" spans="1:13" x14ac:dyDescent="0.25">
      <c r="A30" s="95">
        <f>A29/$A$21</f>
        <v>0.09</v>
      </c>
      <c r="B30" s="86" t="s">
        <v>45</v>
      </c>
      <c r="C30" s="86"/>
      <c r="D30" s="86"/>
      <c r="E30" s="86"/>
      <c r="H30" s="132">
        <f>(A22*(H17-3)/100)*H28+H29</f>
        <v>262.45</v>
      </c>
      <c r="I30" s="86" t="s">
        <v>100</v>
      </c>
      <c r="J30" s="86"/>
      <c r="K30" s="86"/>
      <c r="L30" s="86"/>
    </row>
    <row r="31" spans="1:13" ht="15.75" thickBot="1" x14ac:dyDescent="0.3"/>
    <row r="32" spans="1:13" ht="15.75" x14ac:dyDescent="0.25">
      <c r="A32" s="77" t="s">
        <v>69</v>
      </c>
      <c r="B32" s="78"/>
      <c r="C32" s="78"/>
      <c r="D32" s="78"/>
      <c r="E32" s="78"/>
      <c r="F32" s="78"/>
      <c r="G32" s="79"/>
    </row>
    <row r="33" spans="1:7" x14ac:dyDescent="0.25">
      <c r="A33" s="98" t="s">
        <v>104</v>
      </c>
      <c r="B33" s="99" t="s">
        <v>70</v>
      </c>
      <c r="C33" s="81"/>
      <c r="D33" s="81"/>
      <c r="E33" s="81"/>
      <c r="F33" s="81"/>
      <c r="G33" s="83"/>
    </row>
    <row r="34" spans="1:7" x14ac:dyDescent="0.25">
      <c r="A34" s="100">
        <v>0.9</v>
      </c>
      <c r="B34" s="101">
        <f>1-A34</f>
        <v>9.9999999999999978E-2</v>
      </c>
      <c r="C34" s="63" t="s">
        <v>71</v>
      </c>
      <c r="D34" s="63"/>
      <c r="E34" s="63"/>
      <c r="F34" s="63"/>
      <c r="G34" s="64"/>
    </row>
    <row r="35" spans="1:7" x14ac:dyDescent="0.25">
      <c r="A35" s="102">
        <v>6</v>
      </c>
      <c r="B35" s="103">
        <v>35</v>
      </c>
      <c r="C35" s="63" t="s">
        <v>72</v>
      </c>
      <c r="D35" s="63"/>
      <c r="E35" s="63"/>
      <c r="F35" s="63"/>
      <c r="G35" s="64"/>
    </row>
    <row r="36" spans="1:7" x14ac:dyDescent="0.25">
      <c r="A36" s="80">
        <v>2</v>
      </c>
      <c r="B36" s="82">
        <v>4</v>
      </c>
      <c r="C36" s="63" t="s">
        <v>73</v>
      </c>
      <c r="D36" s="63"/>
      <c r="E36" s="63"/>
      <c r="F36" s="63"/>
      <c r="G36" s="64"/>
    </row>
    <row r="37" spans="1:7" x14ac:dyDescent="0.25">
      <c r="A37" s="80">
        <v>4</v>
      </c>
      <c r="B37" s="82">
        <v>5</v>
      </c>
      <c r="C37" s="63" t="s">
        <v>74</v>
      </c>
      <c r="D37" s="63"/>
      <c r="E37" s="63"/>
      <c r="F37" s="63"/>
      <c r="G37" s="64"/>
    </row>
    <row r="38" spans="1:7" x14ac:dyDescent="0.25">
      <c r="A38" s="104">
        <f>A22*0.75</f>
        <v>21.375</v>
      </c>
      <c r="B38" s="105">
        <f>A22*0.5</f>
        <v>14.25</v>
      </c>
      <c r="C38" s="63" t="s">
        <v>75</v>
      </c>
      <c r="D38" s="63"/>
      <c r="E38" s="63"/>
      <c r="F38" s="63"/>
      <c r="G38" s="64"/>
    </row>
    <row r="39" spans="1:7" x14ac:dyDescent="0.25">
      <c r="A39" s="80">
        <v>6</v>
      </c>
      <c r="B39" s="82">
        <v>14</v>
      </c>
      <c r="C39" s="63" t="s">
        <v>76</v>
      </c>
      <c r="D39" s="63"/>
      <c r="E39" s="63"/>
      <c r="F39" s="63"/>
      <c r="G39" s="64"/>
    </row>
    <row r="40" spans="1:7" x14ac:dyDescent="0.25">
      <c r="A40" s="106">
        <f>B40</f>
        <v>0</v>
      </c>
      <c r="B40" s="103">
        <v>0</v>
      </c>
      <c r="C40" s="63" t="s">
        <v>77</v>
      </c>
      <c r="D40" s="63"/>
      <c r="E40" s="63"/>
      <c r="F40" s="63"/>
      <c r="G40" s="64"/>
    </row>
    <row r="41" spans="1:7" x14ac:dyDescent="0.25">
      <c r="A41" s="107">
        <f>(A36+A37)*A22</f>
        <v>171</v>
      </c>
      <c r="B41" s="108">
        <f>(B36+B37)*A22</f>
        <v>256.5</v>
      </c>
      <c r="C41" s="63" t="s">
        <v>78</v>
      </c>
      <c r="D41" s="63"/>
      <c r="E41" s="63"/>
      <c r="F41" s="63"/>
      <c r="G41" s="64"/>
    </row>
    <row r="42" spans="1:7" x14ac:dyDescent="0.25">
      <c r="A42" s="107">
        <f>IF(($A$22-A38)*(A39-(A36+A37))&gt;0,($A$22-A38)*(A39-(A36+A37)),0)</f>
        <v>0</v>
      </c>
      <c r="B42" s="108">
        <f>IF(($A$22-B38)*(B39-(B36+B37))&gt;0,($A$22-B38)*(B39-(B36+B37)),0)</f>
        <v>71.25</v>
      </c>
      <c r="C42" s="63" t="s">
        <v>79</v>
      </c>
      <c r="D42" s="63"/>
      <c r="E42" s="63"/>
      <c r="F42" s="63"/>
      <c r="G42" s="64"/>
    </row>
    <row r="43" spans="1:7" x14ac:dyDescent="0.25">
      <c r="A43" s="109">
        <f>A41+A42</f>
        <v>171</v>
      </c>
      <c r="B43" s="110">
        <f>B41+B42</f>
        <v>327.75</v>
      </c>
      <c r="C43" s="63" t="s">
        <v>80</v>
      </c>
      <c r="D43" s="63"/>
      <c r="E43" s="63"/>
      <c r="F43" s="63"/>
      <c r="G43" s="64"/>
    </row>
    <row r="44" spans="1:7" ht="15.75" x14ac:dyDescent="0.25">
      <c r="A44" s="111">
        <f>A43/($A$22*305)</f>
        <v>1.9672131147540985E-2</v>
      </c>
      <c r="B44" s="112">
        <f>B43/($A$22*305)</f>
        <v>3.7704918032786888E-2</v>
      </c>
      <c r="C44" s="66" t="s">
        <v>166</v>
      </c>
      <c r="D44" s="63"/>
      <c r="E44" s="63"/>
      <c r="F44" s="63"/>
      <c r="G44" s="64"/>
    </row>
    <row r="45" spans="1:7" x14ac:dyDescent="0.25">
      <c r="A45" s="149">
        <f>A41/100*(H17-A40)+A42/100*H17</f>
        <v>37.619999999999997</v>
      </c>
      <c r="B45" s="150">
        <f>B41/100*(H17-B40)+B42/100*H17</f>
        <v>72.105000000000004</v>
      </c>
      <c r="C45" s="63" t="s">
        <v>167</v>
      </c>
      <c r="D45" s="63"/>
      <c r="E45" s="63"/>
      <c r="F45" s="63"/>
      <c r="G45" s="64"/>
    </row>
    <row r="46" spans="1:7" x14ac:dyDescent="0.25">
      <c r="A46" s="136">
        <v>1</v>
      </c>
      <c r="B46" s="137">
        <v>4</v>
      </c>
      <c r="C46" s="63" t="s">
        <v>168</v>
      </c>
      <c r="D46" s="63"/>
      <c r="E46" s="63"/>
      <c r="F46" s="63"/>
      <c r="G46" s="64"/>
    </row>
    <row r="47" spans="1:7" x14ac:dyDescent="0.25">
      <c r="A47" s="151">
        <f>A46*$H$19</f>
        <v>15</v>
      </c>
      <c r="B47" s="152">
        <f>B46*$H$19</f>
        <v>60</v>
      </c>
      <c r="C47" s="63" t="s">
        <v>169</v>
      </c>
      <c r="D47" s="63"/>
      <c r="E47" s="63"/>
      <c r="F47" s="63"/>
      <c r="G47" s="64"/>
    </row>
    <row r="48" spans="1:7" x14ac:dyDescent="0.25">
      <c r="A48" s="102">
        <v>0</v>
      </c>
      <c r="B48" s="103">
        <v>25</v>
      </c>
      <c r="C48" s="63" t="s">
        <v>170</v>
      </c>
      <c r="D48" s="63"/>
      <c r="E48" s="63"/>
      <c r="F48" s="63"/>
      <c r="G48" s="64"/>
    </row>
    <row r="49" spans="1:7" ht="15.75" x14ac:dyDescent="0.25">
      <c r="A49" s="153">
        <f>A48+A47+A45+A35</f>
        <v>58.62</v>
      </c>
      <c r="B49" s="154">
        <f>B48+B47+B45+B35</f>
        <v>192.10500000000002</v>
      </c>
      <c r="C49" s="113" t="s">
        <v>171</v>
      </c>
      <c r="D49" s="113"/>
      <c r="E49" s="81"/>
      <c r="F49" s="81"/>
      <c r="G49" s="83"/>
    </row>
    <row r="50" spans="1:7" ht="19.5" thickBot="1" x14ac:dyDescent="0.35">
      <c r="A50" s="158">
        <f>A49*A34+B49*B34</f>
        <v>71.968499999999992</v>
      </c>
      <c r="B50" s="159" t="s">
        <v>172</v>
      </c>
      <c r="C50" s="160"/>
      <c r="D50" s="160"/>
      <c r="E50" s="160"/>
      <c r="F50" s="89"/>
      <c r="G50" s="91"/>
    </row>
    <row r="51" spans="1:7" ht="15.75" thickBot="1" x14ac:dyDescent="0.3"/>
    <row r="52" spans="1:7" ht="15.75" x14ac:dyDescent="0.25">
      <c r="A52" s="77" t="s">
        <v>164</v>
      </c>
      <c r="B52" s="78"/>
      <c r="C52" s="78"/>
      <c r="D52" s="78"/>
      <c r="E52" s="78"/>
      <c r="F52" s="79"/>
    </row>
    <row r="53" spans="1:7" x14ac:dyDescent="0.25">
      <c r="A53" s="107">
        <f>A17/100*[1]sccloss!A32</f>
        <v>8.7210000000000001</v>
      </c>
      <c r="B53" s="63" t="s">
        <v>81</v>
      </c>
      <c r="C53" s="63"/>
      <c r="D53" s="63"/>
      <c r="E53" s="63"/>
      <c r="F53" s="64"/>
    </row>
    <row r="54" spans="1:7" x14ac:dyDescent="0.25">
      <c r="A54" s="115">
        <f>A18/100*[1]sccloss!A18</f>
        <v>53.549818181818168</v>
      </c>
      <c r="B54" s="116" t="s">
        <v>82</v>
      </c>
      <c r="C54" s="116"/>
      <c r="D54" s="116"/>
      <c r="E54" s="116"/>
      <c r="F54" s="117"/>
    </row>
    <row r="55" spans="1:7" ht="15.75" thickBot="1" x14ac:dyDescent="0.3">
      <c r="A55" s="118">
        <f>A54+A53</f>
        <v>62.270818181818171</v>
      </c>
      <c r="B55" s="69" t="s">
        <v>102</v>
      </c>
      <c r="C55" s="69"/>
      <c r="D55" s="69"/>
      <c r="E55" s="70"/>
    </row>
    <row r="56" spans="1:7" ht="15.75" thickBot="1" x14ac:dyDescent="0.3">
      <c r="A56" s="13">
        <v>77.539072727272739</v>
      </c>
      <c r="B56" s="13" t="s">
        <v>101</v>
      </c>
    </row>
    <row r="57" spans="1:7" ht="15.75" x14ac:dyDescent="0.25">
      <c r="A57" s="77" t="s">
        <v>84</v>
      </c>
      <c r="B57" s="78"/>
      <c r="C57" s="78"/>
      <c r="D57" s="78"/>
      <c r="E57" s="78"/>
      <c r="F57" s="79"/>
    </row>
    <row r="58" spans="1:7" x14ac:dyDescent="0.25">
      <c r="A58" s="156">
        <f>B59*B60</f>
        <v>4062.25</v>
      </c>
      <c r="B58" s="63" t="s">
        <v>85</v>
      </c>
      <c r="C58" s="63"/>
      <c r="D58" s="63"/>
      <c r="E58" s="63"/>
      <c r="F58" s="64"/>
    </row>
    <row r="59" spans="1:7" x14ac:dyDescent="0.25">
      <c r="A59" s="144"/>
      <c r="B59" s="63">
        <f>A29-E14</f>
        <v>5</v>
      </c>
      <c r="C59" s="63" t="s">
        <v>86</v>
      </c>
      <c r="D59" s="63"/>
      <c r="E59" s="63"/>
      <c r="F59" s="64"/>
    </row>
    <row r="60" spans="1:7" x14ac:dyDescent="0.25">
      <c r="A60" s="144"/>
      <c r="B60" s="155">
        <f>H23+H30-H22</f>
        <v>812.45</v>
      </c>
      <c r="C60" s="63" t="s">
        <v>87</v>
      </c>
      <c r="D60" s="63"/>
      <c r="E60" s="63"/>
      <c r="F60" s="64"/>
    </row>
    <row r="61" spans="1:7" x14ac:dyDescent="0.25">
      <c r="A61" s="157">
        <f>B62*B63</f>
        <v>2524.9</v>
      </c>
      <c r="B61" s="63" t="s">
        <v>88</v>
      </c>
      <c r="C61" s="63"/>
      <c r="D61" s="63"/>
      <c r="E61" s="63"/>
      <c r="F61" s="64"/>
    </row>
    <row r="62" spans="1:7" x14ac:dyDescent="0.25">
      <c r="A62" s="144"/>
      <c r="B62" s="63">
        <f>A27-E12</f>
        <v>2</v>
      </c>
      <c r="C62" s="63" t="s">
        <v>89</v>
      </c>
      <c r="D62" s="63"/>
      <c r="E62" s="63"/>
      <c r="F62" s="64"/>
    </row>
    <row r="63" spans="1:7" ht="15.75" thickBot="1" x14ac:dyDescent="0.3">
      <c r="A63" s="147"/>
      <c r="B63" s="157">
        <f>H23+H25+H30</f>
        <v>1262.45</v>
      </c>
      <c r="C63" s="69" t="s">
        <v>90</v>
      </c>
      <c r="D63" s="69"/>
      <c r="E63" s="69"/>
      <c r="F63" s="70"/>
    </row>
  </sheetData>
  <pageMargins left="0.7" right="0.7" top="0.78740157499999996" bottom="0.78740157499999996" header="0.3" footer="0.3"/>
  <pageSetup paperSize="9" scale="49" orientation="landscape" r:id="rId1"/>
  <headerFooter>
    <oddHeader>&amp;LInnovationsteam Milch Hessen</oddHeader>
    <oddFooter>&amp;CZellzahl / Mastitisverluste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workbookViewId="0">
      <selection activeCell="P23" sqref="P23"/>
    </sheetView>
  </sheetViews>
  <sheetFormatPr baseColWidth="10" defaultRowHeight="15" x14ac:dyDescent="0.25"/>
  <cols>
    <col min="1" max="1" width="12" style="13" bestFit="1" customWidth="1"/>
    <col min="2" max="2" width="12.85546875" style="13" customWidth="1"/>
    <col min="3" max="4" width="10.28515625" style="13" customWidth="1"/>
    <col min="5" max="5" width="10.42578125" style="13" bestFit="1" customWidth="1"/>
    <col min="6" max="6" width="10.28515625" style="13" customWidth="1"/>
    <col min="7" max="7" width="13.7109375" style="13" customWidth="1"/>
    <col min="8" max="8" width="11.42578125" style="13" bestFit="1" customWidth="1"/>
    <col min="9" max="256" width="10.28515625" style="13" customWidth="1"/>
    <col min="257" max="257" width="12" style="13" bestFit="1" customWidth="1"/>
    <col min="258" max="258" width="12.85546875" style="13" customWidth="1"/>
    <col min="259" max="260" width="10.28515625" style="13" customWidth="1"/>
    <col min="261" max="261" width="10.42578125" style="13" bestFit="1" customWidth="1"/>
    <col min="262" max="262" width="10.28515625" style="13" customWidth="1"/>
    <col min="263" max="263" width="13.7109375" style="13" customWidth="1"/>
    <col min="264" max="264" width="11.42578125" style="13" bestFit="1" customWidth="1"/>
    <col min="265" max="512" width="10.28515625" style="13" customWidth="1"/>
    <col min="513" max="513" width="12" style="13" bestFit="1" customWidth="1"/>
    <col min="514" max="514" width="12.85546875" style="13" customWidth="1"/>
    <col min="515" max="516" width="10.28515625" style="13" customWidth="1"/>
    <col min="517" max="517" width="10.42578125" style="13" bestFit="1" customWidth="1"/>
    <col min="518" max="518" width="10.28515625" style="13" customWidth="1"/>
    <col min="519" max="519" width="13.7109375" style="13" customWidth="1"/>
    <col min="520" max="520" width="11.42578125" style="13" bestFit="1" customWidth="1"/>
    <col min="521" max="768" width="10.28515625" style="13" customWidth="1"/>
    <col min="769" max="769" width="12" style="13" bestFit="1" customWidth="1"/>
    <col min="770" max="770" width="12.85546875" style="13" customWidth="1"/>
    <col min="771" max="772" width="10.28515625" style="13" customWidth="1"/>
    <col min="773" max="773" width="10.42578125" style="13" bestFit="1" customWidth="1"/>
    <col min="774" max="774" width="10.28515625" style="13" customWidth="1"/>
    <col min="775" max="775" width="13.7109375" style="13" customWidth="1"/>
    <col min="776" max="776" width="11.42578125" style="13" bestFit="1" customWidth="1"/>
    <col min="777" max="1024" width="10.28515625" style="13" customWidth="1"/>
    <col min="1025" max="1025" width="12" style="13" bestFit="1" customWidth="1"/>
    <col min="1026" max="1026" width="12.85546875" style="13" customWidth="1"/>
    <col min="1027" max="1028" width="10.28515625" style="13" customWidth="1"/>
    <col min="1029" max="1029" width="10.42578125" style="13" bestFit="1" customWidth="1"/>
    <col min="1030" max="1030" width="10.28515625" style="13" customWidth="1"/>
    <col min="1031" max="1031" width="13.7109375" style="13" customWidth="1"/>
    <col min="1032" max="1032" width="11.42578125" style="13" bestFit="1" customWidth="1"/>
    <col min="1033" max="1280" width="10.28515625" style="13" customWidth="1"/>
    <col min="1281" max="1281" width="12" style="13" bestFit="1" customWidth="1"/>
    <col min="1282" max="1282" width="12.85546875" style="13" customWidth="1"/>
    <col min="1283" max="1284" width="10.28515625" style="13" customWidth="1"/>
    <col min="1285" max="1285" width="10.42578125" style="13" bestFit="1" customWidth="1"/>
    <col min="1286" max="1286" width="10.28515625" style="13" customWidth="1"/>
    <col min="1287" max="1287" width="13.7109375" style="13" customWidth="1"/>
    <col min="1288" max="1288" width="11.42578125" style="13" bestFit="1" customWidth="1"/>
    <col min="1289" max="1536" width="10.28515625" style="13" customWidth="1"/>
    <col min="1537" max="1537" width="12" style="13" bestFit="1" customWidth="1"/>
    <col min="1538" max="1538" width="12.85546875" style="13" customWidth="1"/>
    <col min="1539" max="1540" width="10.28515625" style="13" customWidth="1"/>
    <col min="1541" max="1541" width="10.42578125" style="13" bestFit="1" customWidth="1"/>
    <col min="1542" max="1542" width="10.28515625" style="13" customWidth="1"/>
    <col min="1543" max="1543" width="13.7109375" style="13" customWidth="1"/>
    <col min="1544" max="1544" width="11.42578125" style="13" bestFit="1" customWidth="1"/>
    <col min="1545" max="1792" width="10.28515625" style="13" customWidth="1"/>
    <col min="1793" max="1793" width="12" style="13" bestFit="1" customWidth="1"/>
    <col min="1794" max="1794" width="12.85546875" style="13" customWidth="1"/>
    <col min="1795" max="1796" width="10.28515625" style="13" customWidth="1"/>
    <col min="1797" max="1797" width="10.42578125" style="13" bestFit="1" customWidth="1"/>
    <col min="1798" max="1798" width="10.28515625" style="13" customWidth="1"/>
    <col min="1799" max="1799" width="13.7109375" style="13" customWidth="1"/>
    <col min="1800" max="1800" width="11.42578125" style="13" bestFit="1" customWidth="1"/>
    <col min="1801" max="2048" width="10.28515625" style="13" customWidth="1"/>
    <col min="2049" max="2049" width="12" style="13" bestFit="1" customWidth="1"/>
    <col min="2050" max="2050" width="12.85546875" style="13" customWidth="1"/>
    <col min="2051" max="2052" width="10.28515625" style="13" customWidth="1"/>
    <col min="2053" max="2053" width="10.42578125" style="13" bestFit="1" customWidth="1"/>
    <col min="2054" max="2054" width="10.28515625" style="13" customWidth="1"/>
    <col min="2055" max="2055" width="13.7109375" style="13" customWidth="1"/>
    <col min="2056" max="2056" width="11.42578125" style="13" bestFit="1" customWidth="1"/>
    <col min="2057" max="2304" width="10.28515625" style="13" customWidth="1"/>
    <col min="2305" max="2305" width="12" style="13" bestFit="1" customWidth="1"/>
    <col min="2306" max="2306" width="12.85546875" style="13" customWidth="1"/>
    <col min="2307" max="2308" width="10.28515625" style="13" customWidth="1"/>
    <col min="2309" max="2309" width="10.42578125" style="13" bestFit="1" customWidth="1"/>
    <col min="2310" max="2310" width="10.28515625" style="13" customWidth="1"/>
    <col min="2311" max="2311" width="13.7109375" style="13" customWidth="1"/>
    <col min="2312" max="2312" width="11.42578125" style="13" bestFit="1" customWidth="1"/>
    <col min="2313" max="2560" width="10.28515625" style="13" customWidth="1"/>
    <col min="2561" max="2561" width="12" style="13" bestFit="1" customWidth="1"/>
    <col min="2562" max="2562" width="12.85546875" style="13" customWidth="1"/>
    <col min="2563" max="2564" width="10.28515625" style="13" customWidth="1"/>
    <col min="2565" max="2565" width="10.42578125" style="13" bestFit="1" customWidth="1"/>
    <col min="2566" max="2566" width="10.28515625" style="13" customWidth="1"/>
    <col min="2567" max="2567" width="13.7109375" style="13" customWidth="1"/>
    <col min="2568" max="2568" width="11.42578125" style="13" bestFit="1" customWidth="1"/>
    <col min="2569" max="2816" width="10.28515625" style="13" customWidth="1"/>
    <col min="2817" max="2817" width="12" style="13" bestFit="1" customWidth="1"/>
    <col min="2818" max="2818" width="12.85546875" style="13" customWidth="1"/>
    <col min="2819" max="2820" width="10.28515625" style="13" customWidth="1"/>
    <col min="2821" max="2821" width="10.42578125" style="13" bestFit="1" customWidth="1"/>
    <col min="2822" max="2822" width="10.28515625" style="13" customWidth="1"/>
    <col min="2823" max="2823" width="13.7109375" style="13" customWidth="1"/>
    <col min="2824" max="2824" width="11.42578125" style="13" bestFit="1" customWidth="1"/>
    <col min="2825" max="3072" width="10.28515625" style="13" customWidth="1"/>
    <col min="3073" max="3073" width="12" style="13" bestFit="1" customWidth="1"/>
    <col min="3074" max="3074" width="12.85546875" style="13" customWidth="1"/>
    <col min="3075" max="3076" width="10.28515625" style="13" customWidth="1"/>
    <col min="3077" max="3077" width="10.42578125" style="13" bestFit="1" customWidth="1"/>
    <col min="3078" max="3078" width="10.28515625" style="13" customWidth="1"/>
    <col min="3079" max="3079" width="13.7109375" style="13" customWidth="1"/>
    <col min="3080" max="3080" width="11.42578125" style="13" bestFit="1" customWidth="1"/>
    <col min="3081" max="3328" width="10.28515625" style="13" customWidth="1"/>
    <col min="3329" max="3329" width="12" style="13" bestFit="1" customWidth="1"/>
    <col min="3330" max="3330" width="12.85546875" style="13" customWidth="1"/>
    <col min="3331" max="3332" width="10.28515625" style="13" customWidth="1"/>
    <col min="3333" max="3333" width="10.42578125" style="13" bestFit="1" customWidth="1"/>
    <col min="3334" max="3334" width="10.28515625" style="13" customWidth="1"/>
    <col min="3335" max="3335" width="13.7109375" style="13" customWidth="1"/>
    <col min="3336" max="3336" width="11.42578125" style="13" bestFit="1" customWidth="1"/>
    <col min="3337" max="3584" width="10.28515625" style="13" customWidth="1"/>
    <col min="3585" max="3585" width="12" style="13" bestFit="1" customWidth="1"/>
    <col min="3586" max="3586" width="12.85546875" style="13" customWidth="1"/>
    <col min="3587" max="3588" width="10.28515625" style="13" customWidth="1"/>
    <col min="3589" max="3589" width="10.42578125" style="13" bestFit="1" customWidth="1"/>
    <col min="3590" max="3590" width="10.28515625" style="13" customWidth="1"/>
    <col min="3591" max="3591" width="13.7109375" style="13" customWidth="1"/>
    <col min="3592" max="3592" width="11.42578125" style="13" bestFit="1" customWidth="1"/>
    <col min="3593" max="3840" width="10.28515625" style="13" customWidth="1"/>
    <col min="3841" max="3841" width="12" style="13" bestFit="1" customWidth="1"/>
    <col min="3842" max="3842" width="12.85546875" style="13" customWidth="1"/>
    <col min="3843" max="3844" width="10.28515625" style="13" customWidth="1"/>
    <col min="3845" max="3845" width="10.42578125" style="13" bestFit="1" customWidth="1"/>
    <col min="3846" max="3846" width="10.28515625" style="13" customWidth="1"/>
    <col min="3847" max="3847" width="13.7109375" style="13" customWidth="1"/>
    <col min="3848" max="3848" width="11.42578125" style="13" bestFit="1" customWidth="1"/>
    <col min="3849" max="4096" width="10.28515625" style="13" customWidth="1"/>
    <col min="4097" max="4097" width="12" style="13" bestFit="1" customWidth="1"/>
    <col min="4098" max="4098" width="12.85546875" style="13" customWidth="1"/>
    <col min="4099" max="4100" width="10.28515625" style="13" customWidth="1"/>
    <col min="4101" max="4101" width="10.42578125" style="13" bestFit="1" customWidth="1"/>
    <col min="4102" max="4102" width="10.28515625" style="13" customWidth="1"/>
    <col min="4103" max="4103" width="13.7109375" style="13" customWidth="1"/>
    <col min="4104" max="4104" width="11.42578125" style="13" bestFit="1" customWidth="1"/>
    <col min="4105" max="4352" width="10.28515625" style="13" customWidth="1"/>
    <col min="4353" max="4353" width="12" style="13" bestFit="1" customWidth="1"/>
    <col min="4354" max="4354" width="12.85546875" style="13" customWidth="1"/>
    <col min="4355" max="4356" width="10.28515625" style="13" customWidth="1"/>
    <col min="4357" max="4357" width="10.42578125" style="13" bestFit="1" customWidth="1"/>
    <col min="4358" max="4358" width="10.28515625" style="13" customWidth="1"/>
    <col min="4359" max="4359" width="13.7109375" style="13" customWidth="1"/>
    <col min="4360" max="4360" width="11.42578125" style="13" bestFit="1" customWidth="1"/>
    <col min="4361" max="4608" width="10.28515625" style="13" customWidth="1"/>
    <col min="4609" max="4609" width="12" style="13" bestFit="1" customWidth="1"/>
    <col min="4610" max="4610" width="12.85546875" style="13" customWidth="1"/>
    <col min="4611" max="4612" width="10.28515625" style="13" customWidth="1"/>
    <col min="4613" max="4613" width="10.42578125" style="13" bestFit="1" customWidth="1"/>
    <col min="4614" max="4614" width="10.28515625" style="13" customWidth="1"/>
    <col min="4615" max="4615" width="13.7109375" style="13" customWidth="1"/>
    <col min="4616" max="4616" width="11.42578125" style="13" bestFit="1" customWidth="1"/>
    <col min="4617" max="4864" width="10.28515625" style="13" customWidth="1"/>
    <col min="4865" max="4865" width="12" style="13" bestFit="1" customWidth="1"/>
    <col min="4866" max="4866" width="12.85546875" style="13" customWidth="1"/>
    <col min="4867" max="4868" width="10.28515625" style="13" customWidth="1"/>
    <col min="4869" max="4869" width="10.42578125" style="13" bestFit="1" customWidth="1"/>
    <col min="4870" max="4870" width="10.28515625" style="13" customWidth="1"/>
    <col min="4871" max="4871" width="13.7109375" style="13" customWidth="1"/>
    <col min="4872" max="4872" width="11.42578125" style="13" bestFit="1" customWidth="1"/>
    <col min="4873" max="5120" width="10.28515625" style="13" customWidth="1"/>
    <col min="5121" max="5121" width="12" style="13" bestFit="1" customWidth="1"/>
    <col min="5122" max="5122" width="12.85546875" style="13" customWidth="1"/>
    <col min="5123" max="5124" width="10.28515625" style="13" customWidth="1"/>
    <col min="5125" max="5125" width="10.42578125" style="13" bestFit="1" customWidth="1"/>
    <col min="5126" max="5126" width="10.28515625" style="13" customWidth="1"/>
    <col min="5127" max="5127" width="13.7109375" style="13" customWidth="1"/>
    <col min="5128" max="5128" width="11.42578125" style="13" bestFit="1" customWidth="1"/>
    <col min="5129" max="5376" width="10.28515625" style="13" customWidth="1"/>
    <col min="5377" max="5377" width="12" style="13" bestFit="1" customWidth="1"/>
    <col min="5378" max="5378" width="12.85546875" style="13" customWidth="1"/>
    <col min="5379" max="5380" width="10.28515625" style="13" customWidth="1"/>
    <col min="5381" max="5381" width="10.42578125" style="13" bestFit="1" customWidth="1"/>
    <col min="5382" max="5382" width="10.28515625" style="13" customWidth="1"/>
    <col min="5383" max="5383" width="13.7109375" style="13" customWidth="1"/>
    <col min="5384" max="5384" width="11.42578125" style="13" bestFit="1" customWidth="1"/>
    <col min="5385" max="5632" width="10.28515625" style="13" customWidth="1"/>
    <col min="5633" max="5633" width="12" style="13" bestFit="1" customWidth="1"/>
    <col min="5634" max="5634" width="12.85546875" style="13" customWidth="1"/>
    <col min="5635" max="5636" width="10.28515625" style="13" customWidth="1"/>
    <col min="5637" max="5637" width="10.42578125" style="13" bestFit="1" customWidth="1"/>
    <col min="5638" max="5638" width="10.28515625" style="13" customWidth="1"/>
    <col min="5639" max="5639" width="13.7109375" style="13" customWidth="1"/>
    <col min="5640" max="5640" width="11.42578125" style="13" bestFit="1" customWidth="1"/>
    <col min="5641" max="5888" width="10.28515625" style="13" customWidth="1"/>
    <col min="5889" max="5889" width="12" style="13" bestFit="1" customWidth="1"/>
    <col min="5890" max="5890" width="12.85546875" style="13" customWidth="1"/>
    <col min="5891" max="5892" width="10.28515625" style="13" customWidth="1"/>
    <col min="5893" max="5893" width="10.42578125" style="13" bestFit="1" customWidth="1"/>
    <col min="5894" max="5894" width="10.28515625" style="13" customWidth="1"/>
    <col min="5895" max="5895" width="13.7109375" style="13" customWidth="1"/>
    <col min="5896" max="5896" width="11.42578125" style="13" bestFit="1" customWidth="1"/>
    <col min="5897" max="6144" width="10.28515625" style="13" customWidth="1"/>
    <col min="6145" max="6145" width="12" style="13" bestFit="1" customWidth="1"/>
    <col min="6146" max="6146" width="12.85546875" style="13" customWidth="1"/>
    <col min="6147" max="6148" width="10.28515625" style="13" customWidth="1"/>
    <col min="6149" max="6149" width="10.42578125" style="13" bestFit="1" customWidth="1"/>
    <col min="6150" max="6150" width="10.28515625" style="13" customWidth="1"/>
    <col min="6151" max="6151" width="13.7109375" style="13" customWidth="1"/>
    <col min="6152" max="6152" width="11.42578125" style="13" bestFit="1" customWidth="1"/>
    <col min="6153" max="6400" width="10.28515625" style="13" customWidth="1"/>
    <col min="6401" max="6401" width="12" style="13" bestFit="1" customWidth="1"/>
    <col min="6402" max="6402" width="12.85546875" style="13" customWidth="1"/>
    <col min="6403" max="6404" width="10.28515625" style="13" customWidth="1"/>
    <col min="6405" max="6405" width="10.42578125" style="13" bestFit="1" customWidth="1"/>
    <col min="6406" max="6406" width="10.28515625" style="13" customWidth="1"/>
    <col min="6407" max="6407" width="13.7109375" style="13" customWidth="1"/>
    <col min="6408" max="6408" width="11.42578125" style="13" bestFit="1" customWidth="1"/>
    <col min="6409" max="6656" width="10.28515625" style="13" customWidth="1"/>
    <col min="6657" max="6657" width="12" style="13" bestFit="1" customWidth="1"/>
    <col min="6658" max="6658" width="12.85546875" style="13" customWidth="1"/>
    <col min="6659" max="6660" width="10.28515625" style="13" customWidth="1"/>
    <col min="6661" max="6661" width="10.42578125" style="13" bestFit="1" customWidth="1"/>
    <col min="6662" max="6662" width="10.28515625" style="13" customWidth="1"/>
    <col min="6663" max="6663" width="13.7109375" style="13" customWidth="1"/>
    <col min="6664" max="6664" width="11.42578125" style="13" bestFit="1" customWidth="1"/>
    <col min="6665" max="6912" width="10.28515625" style="13" customWidth="1"/>
    <col min="6913" max="6913" width="12" style="13" bestFit="1" customWidth="1"/>
    <col min="6914" max="6914" width="12.85546875" style="13" customWidth="1"/>
    <col min="6915" max="6916" width="10.28515625" style="13" customWidth="1"/>
    <col min="6917" max="6917" width="10.42578125" style="13" bestFit="1" customWidth="1"/>
    <col min="6918" max="6918" width="10.28515625" style="13" customWidth="1"/>
    <col min="6919" max="6919" width="13.7109375" style="13" customWidth="1"/>
    <col min="6920" max="6920" width="11.42578125" style="13" bestFit="1" customWidth="1"/>
    <col min="6921" max="7168" width="10.28515625" style="13" customWidth="1"/>
    <col min="7169" max="7169" width="12" style="13" bestFit="1" customWidth="1"/>
    <col min="7170" max="7170" width="12.85546875" style="13" customWidth="1"/>
    <col min="7171" max="7172" width="10.28515625" style="13" customWidth="1"/>
    <col min="7173" max="7173" width="10.42578125" style="13" bestFit="1" customWidth="1"/>
    <col min="7174" max="7174" width="10.28515625" style="13" customWidth="1"/>
    <col min="7175" max="7175" width="13.7109375" style="13" customWidth="1"/>
    <col min="7176" max="7176" width="11.42578125" style="13" bestFit="1" customWidth="1"/>
    <col min="7177" max="7424" width="10.28515625" style="13" customWidth="1"/>
    <col min="7425" max="7425" width="12" style="13" bestFit="1" customWidth="1"/>
    <col min="7426" max="7426" width="12.85546875" style="13" customWidth="1"/>
    <col min="7427" max="7428" width="10.28515625" style="13" customWidth="1"/>
    <col min="7429" max="7429" width="10.42578125" style="13" bestFit="1" customWidth="1"/>
    <col min="7430" max="7430" width="10.28515625" style="13" customWidth="1"/>
    <col min="7431" max="7431" width="13.7109375" style="13" customWidth="1"/>
    <col min="7432" max="7432" width="11.42578125" style="13" bestFit="1" customWidth="1"/>
    <col min="7433" max="7680" width="10.28515625" style="13" customWidth="1"/>
    <col min="7681" max="7681" width="12" style="13" bestFit="1" customWidth="1"/>
    <col min="7682" max="7682" width="12.85546875" style="13" customWidth="1"/>
    <col min="7683" max="7684" width="10.28515625" style="13" customWidth="1"/>
    <col min="7685" max="7685" width="10.42578125" style="13" bestFit="1" customWidth="1"/>
    <col min="7686" max="7686" width="10.28515625" style="13" customWidth="1"/>
    <col min="7687" max="7687" width="13.7109375" style="13" customWidth="1"/>
    <col min="7688" max="7688" width="11.42578125" style="13" bestFit="1" customWidth="1"/>
    <col min="7689" max="7936" width="10.28515625" style="13" customWidth="1"/>
    <col min="7937" max="7937" width="12" style="13" bestFit="1" customWidth="1"/>
    <col min="7938" max="7938" width="12.85546875" style="13" customWidth="1"/>
    <col min="7939" max="7940" width="10.28515625" style="13" customWidth="1"/>
    <col min="7941" max="7941" width="10.42578125" style="13" bestFit="1" customWidth="1"/>
    <col min="7942" max="7942" width="10.28515625" style="13" customWidth="1"/>
    <col min="7943" max="7943" width="13.7109375" style="13" customWidth="1"/>
    <col min="7944" max="7944" width="11.42578125" style="13" bestFit="1" customWidth="1"/>
    <col min="7945" max="8192" width="10.28515625" style="13" customWidth="1"/>
    <col min="8193" max="8193" width="12" style="13" bestFit="1" customWidth="1"/>
    <col min="8194" max="8194" width="12.85546875" style="13" customWidth="1"/>
    <col min="8195" max="8196" width="10.28515625" style="13" customWidth="1"/>
    <col min="8197" max="8197" width="10.42578125" style="13" bestFit="1" customWidth="1"/>
    <col min="8198" max="8198" width="10.28515625" style="13" customWidth="1"/>
    <col min="8199" max="8199" width="13.7109375" style="13" customWidth="1"/>
    <col min="8200" max="8200" width="11.42578125" style="13" bestFit="1" customWidth="1"/>
    <col min="8201" max="8448" width="10.28515625" style="13" customWidth="1"/>
    <col min="8449" max="8449" width="12" style="13" bestFit="1" customWidth="1"/>
    <col min="8450" max="8450" width="12.85546875" style="13" customWidth="1"/>
    <col min="8451" max="8452" width="10.28515625" style="13" customWidth="1"/>
    <col min="8453" max="8453" width="10.42578125" style="13" bestFit="1" customWidth="1"/>
    <col min="8454" max="8454" width="10.28515625" style="13" customWidth="1"/>
    <col min="8455" max="8455" width="13.7109375" style="13" customWidth="1"/>
    <col min="8456" max="8456" width="11.42578125" style="13" bestFit="1" customWidth="1"/>
    <col min="8457" max="8704" width="10.28515625" style="13" customWidth="1"/>
    <col min="8705" max="8705" width="12" style="13" bestFit="1" customWidth="1"/>
    <col min="8706" max="8706" width="12.85546875" style="13" customWidth="1"/>
    <col min="8707" max="8708" width="10.28515625" style="13" customWidth="1"/>
    <col min="8709" max="8709" width="10.42578125" style="13" bestFit="1" customWidth="1"/>
    <col min="8710" max="8710" width="10.28515625" style="13" customWidth="1"/>
    <col min="8711" max="8711" width="13.7109375" style="13" customWidth="1"/>
    <col min="8712" max="8712" width="11.42578125" style="13" bestFit="1" customWidth="1"/>
    <col min="8713" max="8960" width="10.28515625" style="13" customWidth="1"/>
    <col min="8961" max="8961" width="12" style="13" bestFit="1" customWidth="1"/>
    <col min="8962" max="8962" width="12.85546875" style="13" customWidth="1"/>
    <col min="8963" max="8964" width="10.28515625" style="13" customWidth="1"/>
    <col min="8965" max="8965" width="10.42578125" style="13" bestFit="1" customWidth="1"/>
    <col min="8966" max="8966" width="10.28515625" style="13" customWidth="1"/>
    <col min="8967" max="8967" width="13.7109375" style="13" customWidth="1"/>
    <col min="8968" max="8968" width="11.42578125" style="13" bestFit="1" customWidth="1"/>
    <col min="8969" max="9216" width="10.28515625" style="13" customWidth="1"/>
    <col min="9217" max="9217" width="12" style="13" bestFit="1" customWidth="1"/>
    <col min="9218" max="9218" width="12.85546875" style="13" customWidth="1"/>
    <col min="9219" max="9220" width="10.28515625" style="13" customWidth="1"/>
    <col min="9221" max="9221" width="10.42578125" style="13" bestFit="1" customWidth="1"/>
    <col min="9222" max="9222" width="10.28515625" style="13" customWidth="1"/>
    <col min="9223" max="9223" width="13.7109375" style="13" customWidth="1"/>
    <col min="9224" max="9224" width="11.42578125" style="13" bestFit="1" customWidth="1"/>
    <col min="9225" max="9472" width="10.28515625" style="13" customWidth="1"/>
    <col min="9473" max="9473" width="12" style="13" bestFit="1" customWidth="1"/>
    <col min="9474" max="9474" width="12.85546875" style="13" customWidth="1"/>
    <col min="9475" max="9476" width="10.28515625" style="13" customWidth="1"/>
    <col min="9477" max="9477" width="10.42578125" style="13" bestFit="1" customWidth="1"/>
    <col min="9478" max="9478" width="10.28515625" style="13" customWidth="1"/>
    <col min="9479" max="9479" width="13.7109375" style="13" customWidth="1"/>
    <col min="9480" max="9480" width="11.42578125" style="13" bestFit="1" customWidth="1"/>
    <col min="9481" max="9728" width="10.28515625" style="13" customWidth="1"/>
    <col min="9729" max="9729" width="12" style="13" bestFit="1" customWidth="1"/>
    <col min="9730" max="9730" width="12.85546875" style="13" customWidth="1"/>
    <col min="9731" max="9732" width="10.28515625" style="13" customWidth="1"/>
    <col min="9733" max="9733" width="10.42578125" style="13" bestFit="1" customWidth="1"/>
    <col min="9734" max="9734" width="10.28515625" style="13" customWidth="1"/>
    <col min="9735" max="9735" width="13.7109375" style="13" customWidth="1"/>
    <col min="9736" max="9736" width="11.42578125" style="13" bestFit="1" customWidth="1"/>
    <col min="9737" max="9984" width="10.28515625" style="13" customWidth="1"/>
    <col min="9985" max="9985" width="12" style="13" bestFit="1" customWidth="1"/>
    <col min="9986" max="9986" width="12.85546875" style="13" customWidth="1"/>
    <col min="9987" max="9988" width="10.28515625" style="13" customWidth="1"/>
    <col min="9989" max="9989" width="10.42578125" style="13" bestFit="1" customWidth="1"/>
    <col min="9990" max="9990" width="10.28515625" style="13" customWidth="1"/>
    <col min="9991" max="9991" width="13.7109375" style="13" customWidth="1"/>
    <col min="9992" max="9992" width="11.42578125" style="13" bestFit="1" customWidth="1"/>
    <col min="9993" max="10240" width="10.28515625" style="13" customWidth="1"/>
    <col min="10241" max="10241" width="12" style="13" bestFit="1" customWidth="1"/>
    <col min="10242" max="10242" width="12.85546875" style="13" customWidth="1"/>
    <col min="10243" max="10244" width="10.28515625" style="13" customWidth="1"/>
    <col min="10245" max="10245" width="10.42578125" style="13" bestFit="1" customWidth="1"/>
    <col min="10246" max="10246" width="10.28515625" style="13" customWidth="1"/>
    <col min="10247" max="10247" width="13.7109375" style="13" customWidth="1"/>
    <col min="10248" max="10248" width="11.42578125" style="13" bestFit="1" customWidth="1"/>
    <col min="10249" max="10496" width="10.28515625" style="13" customWidth="1"/>
    <col min="10497" max="10497" width="12" style="13" bestFit="1" customWidth="1"/>
    <col min="10498" max="10498" width="12.85546875" style="13" customWidth="1"/>
    <col min="10499" max="10500" width="10.28515625" style="13" customWidth="1"/>
    <col min="10501" max="10501" width="10.42578125" style="13" bestFit="1" customWidth="1"/>
    <col min="10502" max="10502" width="10.28515625" style="13" customWidth="1"/>
    <col min="10503" max="10503" width="13.7109375" style="13" customWidth="1"/>
    <col min="10504" max="10504" width="11.42578125" style="13" bestFit="1" customWidth="1"/>
    <col min="10505" max="10752" width="10.28515625" style="13" customWidth="1"/>
    <col min="10753" max="10753" width="12" style="13" bestFit="1" customWidth="1"/>
    <col min="10754" max="10754" width="12.85546875" style="13" customWidth="1"/>
    <col min="10755" max="10756" width="10.28515625" style="13" customWidth="1"/>
    <col min="10757" max="10757" width="10.42578125" style="13" bestFit="1" customWidth="1"/>
    <col min="10758" max="10758" width="10.28515625" style="13" customWidth="1"/>
    <col min="10759" max="10759" width="13.7109375" style="13" customWidth="1"/>
    <col min="10760" max="10760" width="11.42578125" style="13" bestFit="1" customWidth="1"/>
    <col min="10761" max="11008" width="10.28515625" style="13" customWidth="1"/>
    <col min="11009" max="11009" width="12" style="13" bestFit="1" customWidth="1"/>
    <col min="11010" max="11010" width="12.85546875" style="13" customWidth="1"/>
    <col min="11011" max="11012" width="10.28515625" style="13" customWidth="1"/>
    <col min="11013" max="11013" width="10.42578125" style="13" bestFit="1" customWidth="1"/>
    <col min="11014" max="11014" width="10.28515625" style="13" customWidth="1"/>
    <col min="11015" max="11015" width="13.7109375" style="13" customWidth="1"/>
    <col min="11016" max="11016" width="11.42578125" style="13" bestFit="1" customWidth="1"/>
    <col min="11017" max="11264" width="10.28515625" style="13" customWidth="1"/>
    <col min="11265" max="11265" width="12" style="13" bestFit="1" customWidth="1"/>
    <col min="11266" max="11266" width="12.85546875" style="13" customWidth="1"/>
    <col min="11267" max="11268" width="10.28515625" style="13" customWidth="1"/>
    <col min="11269" max="11269" width="10.42578125" style="13" bestFit="1" customWidth="1"/>
    <col min="11270" max="11270" width="10.28515625" style="13" customWidth="1"/>
    <col min="11271" max="11271" width="13.7109375" style="13" customWidth="1"/>
    <col min="11272" max="11272" width="11.42578125" style="13" bestFit="1" customWidth="1"/>
    <col min="11273" max="11520" width="10.28515625" style="13" customWidth="1"/>
    <col min="11521" max="11521" width="12" style="13" bestFit="1" customWidth="1"/>
    <col min="11522" max="11522" width="12.85546875" style="13" customWidth="1"/>
    <col min="11523" max="11524" width="10.28515625" style="13" customWidth="1"/>
    <col min="11525" max="11525" width="10.42578125" style="13" bestFit="1" customWidth="1"/>
    <col min="11526" max="11526" width="10.28515625" style="13" customWidth="1"/>
    <col min="11527" max="11527" width="13.7109375" style="13" customWidth="1"/>
    <col min="11528" max="11528" width="11.42578125" style="13" bestFit="1" customWidth="1"/>
    <col min="11529" max="11776" width="10.28515625" style="13" customWidth="1"/>
    <col min="11777" max="11777" width="12" style="13" bestFit="1" customWidth="1"/>
    <col min="11778" max="11778" width="12.85546875" style="13" customWidth="1"/>
    <col min="11779" max="11780" width="10.28515625" style="13" customWidth="1"/>
    <col min="11781" max="11781" width="10.42578125" style="13" bestFit="1" customWidth="1"/>
    <col min="11782" max="11782" width="10.28515625" style="13" customWidth="1"/>
    <col min="11783" max="11783" width="13.7109375" style="13" customWidth="1"/>
    <col min="11784" max="11784" width="11.42578125" style="13" bestFit="1" customWidth="1"/>
    <col min="11785" max="12032" width="10.28515625" style="13" customWidth="1"/>
    <col min="12033" max="12033" width="12" style="13" bestFit="1" customWidth="1"/>
    <col min="12034" max="12034" width="12.85546875" style="13" customWidth="1"/>
    <col min="12035" max="12036" width="10.28515625" style="13" customWidth="1"/>
    <col min="12037" max="12037" width="10.42578125" style="13" bestFit="1" customWidth="1"/>
    <col min="12038" max="12038" width="10.28515625" style="13" customWidth="1"/>
    <col min="12039" max="12039" width="13.7109375" style="13" customWidth="1"/>
    <col min="12040" max="12040" width="11.42578125" style="13" bestFit="1" customWidth="1"/>
    <col min="12041" max="12288" width="10.28515625" style="13" customWidth="1"/>
    <col min="12289" max="12289" width="12" style="13" bestFit="1" customWidth="1"/>
    <col min="12290" max="12290" width="12.85546875" style="13" customWidth="1"/>
    <col min="12291" max="12292" width="10.28515625" style="13" customWidth="1"/>
    <col min="12293" max="12293" width="10.42578125" style="13" bestFit="1" customWidth="1"/>
    <col min="12294" max="12294" width="10.28515625" style="13" customWidth="1"/>
    <col min="12295" max="12295" width="13.7109375" style="13" customWidth="1"/>
    <col min="12296" max="12296" width="11.42578125" style="13" bestFit="1" customWidth="1"/>
    <col min="12297" max="12544" width="10.28515625" style="13" customWidth="1"/>
    <col min="12545" max="12545" width="12" style="13" bestFit="1" customWidth="1"/>
    <col min="12546" max="12546" width="12.85546875" style="13" customWidth="1"/>
    <col min="12547" max="12548" width="10.28515625" style="13" customWidth="1"/>
    <col min="12549" max="12549" width="10.42578125" style="13" bestFit="1" customWidth="1"/>
    <col min="12550" max="12550" width="10.28515625" style="13" customWidth="1"/>
    <col min="12551" max="12551" width="13.7109375" style="13" customWidth="1"/>
    <col min="12552" max="12552" width="11.42578125" style="13" bestFit="1" customWidth="1"/>
    <col min="12553" max="12800" width="10.28515625" style="13" customWidth="1"/>
    <col min="12801" max="12801" width="12" style="13" bestFit="1" customWidth="1"/>
    <col min="12802" max="12802" width="12.85546875" style="13" customWidth="1"/>
    <col min="12803" max="12804" width="10.28515625" style="13" customWidth="1"/>
    <col min="12805" max="12805" width="10.42578125" style="13" bestFit="1" customWidth="1"/>
    <col min="12806" max="12806" width="10.28515625" style="13" customWidth="1"/>
    <col min="12807" max="12807" width="13.7109375" style="13" customWidth="1"/>
    <col min="12808" max="12808" width="11.42578125" style="13" bestFit="1" customWidth="1"/>
    <col min="12809" max="13056" width="10.28515625" style="13" customWidth="1"/>
    <col min="13057" max="13057" width="12" style="13" bestFit="1" customWidth="1"/>
    <col min="13058" max="13058" width="12.85546875" style="13" customWidth="1"/>
    <col min="13059" max="13060" width="10.28515625" style="13" customWidth="1"/>
    <col min="13061" max="13061" width="10.42578125" style="13" bestFit="1" customWidth="1"/>
    <col min="13062" max="13062" width="10.28515625" style="13" customWidth="1"/>
    <col min="13063" max="13063" width="13.7109375" style="13" customWidth="1"/>
    <col min="13064" max="13064" width="11.42578125" style="13" bestFit="1" customWidth="1"/>
    <col min="13065" max="13312" width="10.28515625" style="13" customWidth="1"/>
    <col min="13313" max="13313" width="12" style="13" bestFit="1" customWidth="1"/>
    <col min="13314" max="13314" width="12.85546875" style="13" customWidth="1"/>
    <col min="13315" max="13316" width="10.28515625" style="13" customWidth="1"/>
    <col min="13317" max="13317" width="10.42578125" style="13" bestFit="1" customWidth="1"/>
    <col min="13318" max="13318" width="10.28515625" style="13" customWidth="1"/>
    <col min="13319" max="13319" width="13.7109375" style="13" customWidth="1"/>
    <col min="13320" max="13320" width="11.42578125" style="13" bestFit="1" customWidth="1"/>
    <col min="13321" max="13568" width="10.28515625" style="13" customWidth="1"/>
    <col min="13569" max="13569" width="12" style="13" bestFit="1" customWidth="1"/>
    <col min="13570" max="13570" width="12.85546875" style="13" customWidth="1"/>
    <col min="13571" max="13572" width="10.28515625" style="13" customWidth="1"/>
    <col min="13573" max="13573" width="10.42578125" style="13" bestFit="1" customWidth="1"/>
    <col min="13574" max="13574" width="10.28515625" style="13" customWidth="1"/>
    <col min="13575" max="13575" width="13.7109375" style="13" customWidth="1"/>
    <col min="13576" max="13576" width="11.42578125" style="13" bestFit="1" customWidth="1"/>
    <col min="13577" max="13824" width="10.28515625" style="13" customWidth="1"/>
    <col min="13825" max="13825" width="12" style="13" bestFit="1" customWidth="1"/>
    <col min="13826" max="13826" width="12.85546875" style="13" customWidth="1"/>
    <col min="13827" max="13828" width="10.28515625" style="13" customWidth="1"/>
    <col min="13829" max="13829" width="10.42578125" style="13" bestFit="1" customWidth="1"/>
    <col min="13830" max="13830" width="10.28515625" style="13" customWidth="1"/>
    <col min="13831" max="13831" width="13.7109375" style="13" customWidth="1"/>
    <col min="13832" max="13832" width="11.42578125" style="13" bestFit="1" customWidth="1"/>
    <col min="13833" max="14080" width="10.28515625" style="13" customWidth="1"/>
    <col min="14081" max="14081" width="12" style="13" bestFit="1" customWidth="1"/>
    <col min="14082" max="14082" width="12.85546875" style="13" customWidth="1"/>
    <col min="14083" max="14084" width="10.28515625" style="13" customWidth="1"/>
    <col min="14085" max="14085" width="10.42578125" style="13" bestFit="1" customWidth="1"/>
    <col min="14086" max="14086" width="10.28515625" style="13" customWidth="1"/>
    <col min="14087" max="14087" width="13.7109375" style="13" customWidth="1"/>
    <col min="14088" max="14088" width="11.42578125" style="13" bestFit="1" customWidth="1"/>
    <col min="14089" max="14336" width="10.28515625" style="13" customWidth="1"/>
    <col min="14337" max="14337" width="12" style="13" bestFit="1" customWidth="1"/>
    <col min="14338" max="14338" width="12.85546875" style="13" customWidth="1"/>
    <col min="14339" max="14340" width="10.28515625" style="13" customWidth="1"/>
    <col min="14341" max="14341" width="10.42578125" style="13" bestFit="1" customWidth="1"/>
    <col min="14342" max="14342" width="10.28515625" style="13" customWidth="1"/>
    <col min="14343" max="14343" width="13.7109375" style="13" customWidth="1"/>
    <col min="14344" max="14344" width="11.42578125" style="13" bestFit="1" customWidth="1"/>
    <col min="14345" max="14592" width="10.28515625" style="13" customWidth="1"/>
    <col min="14593" max="14593" width="12" style="13" bestFit="1" customWidth="1"/>
    <col min="14594" max="14594" width="12.85546875" style="13" customWidth="1"/>
    <col min="14595" max="14596" width="10.28515625" style="13" customWidth="1"/>
    <col min="14597" max="14597" width="10.42578125" style="13" bestFit="1" customWidth="1"/>
    <col min="14598" max="14598" width="10.28515625" style="13" customWidth="1"/>
    <col min="14599" max="14599" width="13.7109375" style="13" customWidth="1"/>
    <col min="14600" max="14600" width="11.42578125" style="13" bestFit="1" customWidth="1"/>
    <col min="14601" max="14848" width="10.28515625" style="13" customWidth="1"/>
    <col min="14849" max="14849" width="12" style="13" bestFit="1" customWidth="1"/>
    <col min="14850" max="14850" width="12.85546875" style="13" customWidth="1"/>
    <col min="14851" max="14852" width="10.28515625" style="13" customWidth="1"/>
    <col min="14853" max="14853" width="10.42578125" style="13" bestFit="1" customWidth="1"/>
    <col min="14854" max="14854" width="10.28515625" style="13" customWidth="1"/>
    <col min="14855" max="14855" width="13.7109375" style="13" customWidth="1"/>
    <col min="14856" max="14856" width="11.42578125" style="13" bestFit="1" customWidth="1"/>
    <col min="14857" max="15104" width="10.28515625" style="13" customWidth="1"/>
    <col min="15105" max="15105" width="12" style="13" bestFit="1" customWidth="1"/>
    <col min="15106" max="15106" width="12.85546875" style="13" customWidth="1"/>
    <col min="15107" max="15108" width="10.28515625" style="13" customWidth="1"/>
    <col min="15109" max="15109" width="10.42578125" style="13" bestFit="1" customWidth="1"/>
    <col min="15110" max="15110" width="10.28515625" style="13" customWidth="1"/>
    <col min="15111" max="15111" width="13.7109375" style="13" customWidth="1"/>
    <col min="15112" max="15112" width="11.42578125" style="13" bestFit="1" customWidth="1"/>
    <col min="15113" max="15360" width="10.28515625" style="13" customWidth="1"/>
    <col min="15361" max="15361" width="12" style="13" bestFit="1" customWidth="1"/>
    <col min="15362" max="15362" width="12.85546875" style="13" customWidth="1"/>
    <col min="15363" max="15364" width="10.28515625" style="13" customWidth="1"/>
    <col min="15365" max="15365" width="10.42578125" style="13" bestFit="1" customWidth="1"/>
    <col min="15366" max="15366" width="10.28515625" style="13" customWidth="1"/>
    <col min="15367" max="15367" width="13.7109375" style="13" customWidth="1"/>
    <col min="15368" max="15368" width="11.42578125" style="13" bestFit="1" customWidth="1"/>
    <col min="15369" max="15616" width="10.28515625" style="13" customWidth="1"/>
    <col min="15617" max="15617" width="12" style="13" bestFit="1" customWidth="1"/>
    <col min="15618" max="15618" width="12.85546875" style="13" customWidth="1"/>
    <col min="15619" max="15620" width="10.28515625" style="13" customWidth="1"/>
    <col min="15621" max="15621" width="10.42578125" style="13" bestFit="1" customWidth="1"/>
    <col min="15622" max="15622" width="10.28515625" style="13" customWidth="1"/>
    <col min="15623" max="15623" width="13.7109375" style="13" customWidth="1"/>
    <col min="15624" max="15624" width="11.42578125" style="13" bestFit="1" customWidth="1"/>
    <col min="15625" max="15872" width="10.28515625" style="13" customWidth="1"/>
    <col min="15873" max="15873" width="12" style="13" bestFit="1" customWidth="1"/>
    <col min="15874" max="15874" width="12.85546875" style="13" customWidth="1"/>
    <col min="15875" max="15876" width="10.28515625" style="13" customWidth="1"/>
    <col min="15877" max="15877" width="10.42578125" style="13" bestFit="1" customWidth="1"/>
    <col min="15878" max="15878" width="10.28515625" style="13" customWidth="1"/>
    <col min="15879" max="15879" width="13.7109375" style="13" customWidth="1"/>
    <col min="15880" max="15880" width="11.42578125" style="13" bestFit="1" customWidth="1"/>
    <col min="15881" max="16128" width="10.28515625" style="13" customWidth="1"/>
    <col min="16129" max="16129" width="12" style="13" bestFit="1" customWidth="1"/>
    <col min="16130" max="16130" width="12.85546875" style="13" customWidth="1"/>
    <col min="16131" max="16132" width="10.28515625" style="13" customWidth="1"/>
    <col min="16133" max="16133" width="10.42578125" style="13" bestFit="1" customWidth="1"/>
    <col min="16134" max="16134" width="10.28515625" style="13" customWidth="1"/>
    <col min="16135" max="16135" width="13.7109375" style="13" customWidth="1"/>
    <col min="16136" max="16136" width="11.42578125" style="13" bestFit="1" customWidth="1"/>
    <col min="16137" max="16384" width="10.28515625" style="13" customWidth="1"/>
  </cols>
  <sheetData>
    <row r="1" spans="1:14" ht="18.75" x14ac:dyDescent="0.3">
      <c r="A1" s="50" t="s">
        <v>105</v>
      </c>
      <c r="H1" s="51">
        <f ca="1">NOW()</f>
        <v>42620.57010300926</v>
      </c>
      <c r="J1" s="52" t="s">
        <v>106</v>
      </c>
      <c r="M1" s="52"/>
      <c r="N1" s="120" t="s">
        <v>107</v>
      </c>
    </row>
    <row r="2" spans="1:14" ht="18.75" x14ac:dyDescent="0.3">
      <c r="A2" s="53" t="s">
        <v>108</v>
      </c>
      <c r="B2" s="54"/>
      <c r="C2" s="54"/>
      <c r="F2" s="55" t="s">
        <v>109</v>
      </c>
      <c r="G2" s="56"/>
      <c r="H2" s="56"/>
      <c r="J2" s="52" t="s">
        <v>110</v>
      </c>
      <c r="M2" s="52"/>
    </row>
    <row r="3" spans="1:14" ht="15.75" thickBot="1" x14ac:dyDescent="0.3"/>
    <row r="4" spans="1:14" ht="15.75" x14ac:dyDescent="0.25">
      <c r="A4" s="121">
        <f>A26*A50</f>
        <v>1407.0809999999999</v>
      </c>
      <c r="B4" s="57" t="s">
        <v>111</v>
      </c>
      <c r="C4" s="58" t="s">
        <v>112</v>
      </c>
      <c r="D4" s="59"/>
      <c r="E4" s="59"/>
      <c r="F4" s="59"/>
      <c r="G4" s="59"/>
      <c r="H4" s="59"/>
      <c r="I4" s="59"/>
      <c r="J4" s="60"/>
    </row>
    <row r="5" spans="1:14" ht="15.75" x14ac:dyDescent="0.25">
      <c r="A5" s="122">
        <f>A55/100*H17*365</f>
        <v>3068.39456590909</v>
      </c>
      <c r="B5" s="61" t="s">
        <v>113</v>
      </c>
      <c r="C5" s="62" t="s">
        <v>114</v>
      </c>
      <c r="D5" s="63"/>
      <c r="E5" s="63"/>
      <c r="F5" s="63"/>
      <c r="G5" s="63"/>
      <c r="H5" s="63"/>
      <c r="I5" s="63"/>
      <c r="J5" s="64"/>
    </row>
    <row r="6" spans="1:14" ht="15.75" x14ac:dyDescent="0.25">
      <c r="A6" s="123">
        <f>A22*A19*365/100*H18</f>
        <v>10858.75</v>
      </c>
      <c r="B6" s="65" t="s">
        <v>115</v>
      </c>
      <c r="C6" s="62" t="s">
        <v>116</v>
      </c>
      <c r="D6" s="66"/>
      <c r="E6" s="66"/>
      <c r="F6" s="66"/>
      <c r="G6" s="66"/>
      <c r="H6" s="66"/>
      <c r="I6" s="66"/>
      <c r="J6" s="64"/>
    </row>
    <row r="7" spans="1:14" ht="16.5" thickBot="1" x14ac:dyDescent="0.3">
      <c r="A7" s="124">
        <f>A61+A58</f>
        <v>6993.5</v>
      </c>
      <c r="B7" s="67" t="s">
        <v>117</v>
      </c>
      <c r="C7" s="68" t="s">
        <v>118</v>
      </c>
      <c r="D7" s="69"/>
      <c r="E7" s="69"/>
      <c r="F7" s="69"/>
      <c r="G7" s="69"/>
      <c r="H7" s="69"/>
      <c r="I7" s="69"/>
      <c r="J7" s="70"/>
    </row>
    <row r="8" spans="1:14" ht="15.75" x14ac:dyDescent="0.25">
      <c r="A8" s="125">
        <f>SUM(A4:A7)</f>
        <v>22327.725565909088</v>
      </c>
      <c r="B8" s="71" t="s">
        <v>119</v>
      </c>
      <c r="C8" s="72"/>
      <c r="D8" s="72"/>
      <c r="E8" s="72"/>
      <c r="F8" s="73"/>
      <c r="G8" s="10"/>
      <c r="H8" s="10"/>
    </row>
    <row r="9" spans="1:14" ht="16.5" thickBot="1" x14ac:dyDescent="0.3">
      <c r="A9" s="126">
        <f>A8/A21</f>
        <v>223.27725565909088</v>
      </c>
      <c r="B9" s="127" t="s">
        <v>120</v>
      </c>
      <c r="C9" s="74"/>
      <c r="D9" s="74"/>
      <c r="E9" s="74"/>
      <c r="F9" s="75"/>
      <c r="G9" s="10"/>
      <c r="H9" s="10"/>
    </row>
    <row r="10" spans="1:14" ht="16.5" thickBot="1" x14ac:dyDescent="0.3">
      <c r="A10" s="76"/>
    </row>
    <row r="11" spans="1:14" ht="15.75" x14ac:dyDescent="0.25">
      <c r="A11" s="77" t="s">
        <v>121</v>
      </c>
      <c r="B11" s="78"/>
      <c r="C11" s="78"/>
      <c r="D11" s="78"/>
      <c r="E11" s="78"/>
      <c r="F11" s="78"/>
      <c r="G11" s="78"/>
      <c r="H11" s="78"/>
      <c r="I11" s="79"/>
    </row>
    <row r="12" spans="1:14" x14ac:dyDescent="0.25">
      <c r="A12" s="80">
        <v>200</v>
      </c>
      <c r="B12" s="81" t="s">
        <v>122</v>
      </c>
      <c r="C12" s="81"/>
      <c r="D12" s="81"/>
      <c r="E12" s="82">
        <v>2</v>
      </c>
      <c r="F12" s="81" t="s">
        <v>123</v>
      </c>
      <c r="G12" s="81"/>
      <c r="H12" s="81"/>
      <c r="I12" s="83"/>
    </row>
    <row r="13" spans="1:14" x14ac:dyDescent="0.25">
      <c r="A13" s="84">
        <v>0.02</v>
      </c>
      <c r="B13" s="81" t="s">
        <v>124</v>
      </c>
      <c r="C13" s="81"/>
      <c r="D13" s="81"/>
      <c r="E13" s="85">
        <f>E12/$A$21</f>
        <v>0.02</v>
      </c>
      <c r="F13" s="63" t="s">
        <v>125</v>
      </c>
      <c r="G13" s="63"/>
      <c r="H13" s="86"/>
      <c r="I13" s="83"/>
    </row>
    <row r="14" spans="1:14" x14ac:dyDescent="0.25">
      <c r="A14" s="87"/>
      <c r="B14" s="81"/>
      <c r="C14" s="81"/>
      <c r="D14" s="81"/>
      <c r="E14" s="82">
        <v>4</v>
      </c>
      <c r="F14" s="81" t="s">
        <v>126</v>
      </c>
      <c r="G14" s="81"/>
      <c r="H14" s="81"/>
      <c r="I14" s="83"/>
    </row>
    <row r="15" spans="1:14" ht="15.75" thickBot="1" x14ac:dyDescent="0.3">
      <c r="A15" s="88"/>
      <c r="B15" s="89"/>
      <c r="C15" s="89"/>
      <c r="D15" s="89"/>
      <c r="E15" s="90">
        <f>E14/$A$21</f>
        <v>0.04</v>
      </c>
      <c r="F15" s="69" t="s">
        <v>127</v>
      </c>
      <c r="G15" s="69"/>
      <c r="H15" s="69"/>
      <c r="I15" s="91"/>
    </row>
    <row r="16" spans="1:14" ht="15.75" x14ac:dyDescent="0.25">
      <c r="A16" s="76" t="s">
        <v>128</v>
      </c>
      <c r="I16" s="76"/>
    </row>
    <row r="17" spans="1:13" x14ac:dyDescent="0.25">
      <c r="A17" s="54">
        <v>27</v>
      </c>
      <c r="B17" s="13" t="s">
        <v>129</v>
      </c>
      <c r="H17" s="92">
        <v>13.5</v>
      </c>
      <c r="I17" s="13" t="s">
        <v>130</v>
      </c>
    </row>
    <row r="18" spans="1:13" x14ac:dyDescent="0.25">
      <c r="A18" s="86">
        <f>A19-A17</f>
        <v>58</v>
      </c>
      <c r="B18" s="86" t="s">
        <v>131</v>
      </c>
      <c r="C18" s="86"/>
      <c r="H18" s="92">
        <v>0.5</v>
      </c>
      <c r="I18" s="93" t="s">
        <v>50</v>
      </c>
    </row>
    <row r="19" spans="1:13" x14ac:dyDescent="0.25">
      <c r="A19" s="128">
        <v>85</v>
      </c>
      <c r="B19" s="97" t="s">
        <v>132</v>
      </c>
      <c r="C19" s="97"/>
      <c r="D19" s="97"/>
      <c r="E19" s="97"/>
      <c r="H19" s="92">
        <v>13</v>
      </c>
      <c r="I19" s="93" t="s">
        <v>52</v>
      </c>
    </row>
    <row r="20" spans="1:13" x14ac:dyDescent="0.25">
      <c r="A20" s="54">
        <v>15</v>
      </c>
      <c r="B20" s="13" t="s">
        <v>133</v>
      </c>
    </row>
    <row r="21" spans="1:13" ht="15.75" x14ac:dyDescent="0.25">
      <c r="A21" s="94">
        <f>A19+A20</f>
        <v>100</v>
      </c>
      <c r="B21" s="94" t="s">
        <v>134</v>
      </c>
      <c r="C21" s="94"/>
      <c r="D21" s="94"/>
      <c r="H21" s="129">
        <v>1500</v>
      </c>
      <c r="I21" s="13" t="s">
        <v>55</v>
      </c>
    </row>
    <row r="22" spans="1:13" x14ac:dyDescent="0.25">
      <c r="A22" s="54">
        <v>70</v>
      </c>
      <c r="B22" s="13" t="s">
        <v>135</v>
      </c>
      <c r="H22" s="129">
        <v>400</v>
      </c>
      <c r="I22" s="13" t="s">
        <v>57</v>
      </c>
    </row>
    <row r="23" spans="1:13" x14ac:dyDescent="0.25">
      <c r="A23" s="54">
        <v>400</v>
      </c>
      <c r="B23" s="93" t="s">
        <v>136</v>
      </c>
      <c r="H23" s="130">
        <f>H21-(H21-H22)/2</f>
        <v>950</v>
      </c>
      <c r="I23" s="86" t="s">
        <v>61</v>
      </c>
      <c r="J23" s="86"/>
      <c r="K23" s="86"/>
      <c r="L23" s="86"/>
    </row>
    <row r="24" spans="1:13" x14ac:dyDescent="0.25">
      <c r="A24" s="95">
        <f>A25/A19</f>
        <v>3.5294117647058823E-2</v>
      </c>
      <c r="B24" s="86" t="s">
        <v>137</v>
      </c>
      <c r="C24" s="86"/>
      <c r="D24" s="86"/>
      <c r="E24" s="86"/>
      <c r="F24" s="86"/>
    </row>
    <row r="25" spans="1:13" x14ac:dyDescent="0.25">
      <c r="A25" s="54">
        <v>3</v>
      </c>
      <c r="B25" s="13" t="s">
        <v>138</v>
      </c>
      <c r="H25" s="129">
        <v>50</v>
      </c>
      <c r="I25" s="13" t="s">
        <v>63</v>
      </c>
    </row>
    <row r="26" spans="1:13" x14ac:dyDescent="0.25">
      <c r="A26" s="96">
        <f>(A24-A13)*A19*12</f>
        <v>15.599999999999998</v>
      </c>
      <c r="B26" s="86" t="s">
        <v>139</v>
      </c>
      <c r="C26" s="86"/>
      <c r="D26" s="86"/>
      <c r="E26" s="86"/>
    </row>
    <row r="27" spans="1:13" x14ac:dyDescent="0.25">
      <c r="A27" s="54">
        <v>4</v>
      </c>
      <c r="B27" s="13" t="s">
        <v>140</v>
      </c>
    </row>
    <row r="28" spans="1:13" x14ac:dyDescent="0.25">
      <c r="A28" s="95">
        <f>A27/$A$21</f>
        <v>0.04</v>
      </c>
      <c r="B28" s="86" t="s">
        <v>141</v>
      </c>
      <c r="C28" s="86"/>
      <c r="D28" s="86"/>
      <c r="E28" s="86"/>
      <c r="H28" s="131">
        <v>30</v>
      </c>
      <c r="I28" s="13" t="s">
        <v>66</v>
      </c>
    </row>
    <row r="29" spans="1:13" x14ac:dyDescent="0.25">
      <c r="A29" s="54">
        <v>9</v>
      </c>
      <c r="B29" s="13" t="s">
        <v>142</v>
      </c>
      <c r="H29" s="132">
        <v>100</v>
      </c>
      <c r="I29" s="97" t="s">
        <v>67</v>
      </c>
      <c r="J29" s="97"/>
      <c r="K29" s="97"/>
      <c r="L29" s="97"/>
      <c r="M29" s="97"/>
    </row>
    <row r="30" spans="1:13" x14ac:dyDescent="0.25">
      <c r="A30" s="95">
        <f>A29/$A$21</f>
        <v>0.09</v>
      </c>
      <c r="B30" s="86" t="s">
        <v>143</v>
      </c>
      <c r="C30" s="86"/>
      <c r="D30" s="86"/>
      <c r="E30" s="86"/>
      <c r="H30" s="133">
        <f>(A22*(H17-3)/100)*H28+H29</f>
        <v>320.5</v>
      </c>
      <c r="I30" s="86" t="s">
        <v>68</v>
      </c>
      <c r="J30" s="86"/>
      <c r="K30" s="86"/>
      <c r="L30" s="86"/>
    </row>
    <row r="31" spans="1:13" ht="15.75" thickBot="1" x14ac:dyDescent="0.3"/>
    <row r="32" spans="1:13" ht="15.75" x14ac:dyDescent="0.25">
      <c r="A32" s="77" t="s">
        <v>144</v>
      </c>
      <c r="B32" s="78"/>
      <c r="C32" s="78"/>
      <c r="D32" s="78"/>
      <c r="E32" s="78"/>
      <c r="F32" s="78"/>
      <c r="G32" s="79"/>
    </row>
    <row r="33" spans="1:7" x14ac:dyDescent="0.25">
      <c r="A33" s="98" t="s">
        <v>145</v>
      </c>
      <c r="B33" s="99" t="s">
        <v>146</v>
      </c>
      <c r="C33" s="81"/>
      <c r="D33" s="81"/>
      <c r="E33" s="81"/>
      <c r="F33" s="81"/>
      <c r="G33" s="83"/>
    </row>
    <row r="34" spans="1:7" x14ac:dyDescent="0.25">
      <c r="A34" s="100">
        <v>0.9</v>
      </c>
      <c r="B34" s="101">
        <f>1-A34</f>
        <v>9.9999999999999978E-2</v>
      </c>
      <c r="C34" s="63" t="s">
        <v>147</v>
      </c>
      <c r="D34" s="63"/>
      <c r="E34" s="63"/>
      <c r="F34" s="63"/>
      <c r="G34" s="64"/>
    </row>
    <row r="35" spans="1:7" x14ac:dyDescent="0.25">
      <c r="A35" s="102">
        <v>6</v>
      </c>
      <c r="B35" s="103">
        <v>35</v>
      </c>
      <c r="C35" s="63" t="s">
        <v>148</v>
      </c>
      <c r="D35" s="63"/>
      <c r="E35" s="63"/>
      <c r="F35" s="63"/>
      <c r="G35" s="64"/>
    </row>
    <row r="36" spans="1:7" x14ac:dyDescent="0.25">
      <c r="A36" s="80">
        <v>2</v>
      </c>
      <c r="B36" s="82">
        <v>4</v>
      </c>
      <c r="C36" s="63" t="s">
        <v>149</v>
      </c>
      <c r="D36" s="63"/>
      <c r="E36" s="63"/>
      <c r="F36" s="63"/>
      <c r="G36" s="64"/>
    </row>
    <row r="37" spans="1:7" x14ac:dyDescent="0.25">
      <c r="A37" s="80">
        <v>4</v>
      </c>
      <c r="B37" s="82">
        <v>5</v>
      </c>
      <c r="C37" s="63" t="s">
        <v>150</v>
      </c>
      <c r="D37" s="63"/>
      <c r="E37" s="63"/>
      <c r="F37" s="63"/>
      <c r="G37" s="64"/>
    </row>
    <row r="38" spans="1:7" x14ac:dyDescent="0.25">
      <c r="A38" s="104">
        <f>A22*0.75</f>
        <v>52.5</v>
      </c>
      <c r="B38" s="105">
        <f>A22*0.5</f>
        <v>35</v>
      </c>
      <c r="C38" s="63" t="s">
        <v>151</v>
      </c>
      <c r="D38" s="63"/>
      <c r="E38" s="63"/>
      <c r="F38" s="63"/>
      <c r="G38" s="64"/>
    </row>
    <row r="39" spans="1:7" x14ac:dyDescent="0.25">
      <c r="A39" s="80">
        <v>6</v>
      </c>
      <c r="B39" s="82">
        <v>14</v>
      </c>
      <c r="C39" s="63" t="s">
        <v>152</v>
      </c>
      <c r="D39" s="63"/>
      <c r="E39" s="63"/>
      <c r="F39" s="63"/>
      <c r="G39" s="64"/>
    </row>
    <row r="40" spans="1:7" x14ac:dyDescent="0.25">
      <c r="A40" s="106">
        <f>B40</f>
        <v>0</v>
      </c>
      <c r="B40" s="103">
        <v>0</v>
      </c>
      <c r="C40" s="63" t="s">
        <v>153</v>
      </c>
      <c r="D40" s="63"/>
      <c r="E40" s="63"/>
      <c r="F40" s="63"/>
      <c r="G40" s="64"/>
    </row>
    <row r="41" spans="1:7" x14ac:dyDescent="0.25">
      <c r="A41" s="107">
        <f>(A36+A37)*A22</f>
        <v>420</v>
      </c>
      <c r="B41" s="108">
        <f>(B36+B37)*A22</f>
        <v>630</v>
      </c>
      <c r="C41" s="63" t="s">
        <v>154</v>
      </c>
      <c r="D41" s="63"/>
      <c r="E41" s="63"/>
      <c r="F41" s="63"/>
      <c r="G41" s="64"/>
    </row>
    <row r="42" spans="1:7" x14ac:dyDescent="0.25">
      <c r="A42" s="107">
        <f>IF(($A$22-A38)*(A39-(A36+A37))&gt;0,($A$22-A38)*(A39-(A36+A37)),0)</f>
        <v>0</v>
      </c>
      <c r="B42" s="108">
        <f>IF(($A$22-B38)*(B39-(B36+B37))&gt;0,($A$22-B38)*(B39-(B36+B37)),0)</f>
        <v>175</v>
      </c>
      <c r="C42" s="63" t="s">
        <v>155</v>
      </c>
      <c r="D42" s="63"/>
      <c r="E42" s="63"/>
      <c r="F42" s="63"/>
      <c r="G42" s="64"/>
    </row>
    <row r="43" spans="1:7" x14ac:dyDescent="0.25">
      <c r="A43" s="109">
        <f>A41+A42</f>
        <v>420</v>
      </c>
      <c r="B43" s="110">
        <f>B41+B42</f>
        <v>805</v>
      </c>
      <c r="C43" s="63" t="s">
        <v>156</v>
      </c>
      <c r="D43" s="63"/>
      <c r="E43" s="63"/>
      <c r="F43" s="63"/>
      <c r="G43" s="64"/>
    </row>
    <row r="44" spans="1:7" ht="15.75" x14ac:dyDescent="0.25">
      <c r="A44" s="111">
        <f>A43/($A$22*305)</f>
        <v>1.9672131147540985E-2</v>
      </c>
      <c r="B44" s="112">
        <f>B43/($A$22*305)</f>
        <v>3.7704918032786888E-2</v>
      </c>
      <c r="C44" s="66" t="s">
        <v>157</v>
      </c>
      <c r="D44" s="63"/>
      <c r="E44" s="63"/>
      <c r="F44" s="63"/>
      <c r="G44" s="64"/>
    </row>
    <row r="45" spans="1:7" x14ac:dyDescent="0.25">
      <c r="A45" s="134">
        <f>A41/100*(H17-A40)+A42/100*H17</f>
        <v>56.7</v>
      </c>
      <c r="B45" s="135">
        <f>B41/100*(H17-B40)+B42/100*H17</f>
        <v>108.675</v>
      </c>
      <c r="C45" s="63" t="s">
        <v>158</v>
      </c>
      <c r="D45" s="63"/>
      <c r="E45" s="63"/>
      <c r="F45" s="63"/>
      <c r="G45" s="64"/>
    </row>
    <row r="46" spans="1:7" x14ac:dyDescent="0.25">
      <c r="A46" s="136">
        <v>1</v>
      </c>
      <c r="B46" s="137">
        <v>4</v>
      </c>
      <c r="C46" s="63" t="s">
        <v>159</v>
      </c>
      <c r="D46" s="63"/>
      <c r="E46" s="63"/>
      <c r="F46" s="63"/>
      <c r="G46" s="64"/>
    </row>
    <row r="47" spans="1:7" x14ac:dyDescent="0.25">
      <c r="A47" s="138">
        <f>A46*$H$19</f>
        <v>13</v>
      </c>
      <c r="B47" s="139">
        <f>B46*$H$19</f>
        <v>52</v>
      </c>
      <c r="C47" s="63" t="s">
        <v>160</v>
      </c>
      <c r="D47" s="63"/>
      <c r="E47" s="63"/>
      <c r="F47" s="63"/>
      <c r="G47" s="64"/>
    </row>
    <row r="48" spans="1:7" x14ac:dyDescent="0.25">
      <c r="A48" s="102">
        <v>0</v>
      </c>
      <c r="B48" s="103">
        <v>25</v>
      </c>
      <c r="C48" s="63" t="s">
        <v>161</v>
      </c>
      <c r="D48" s="63"/>
      <c r="E48" s="63"/>
      <c r="F48" s="63"/>
      <c r="G48" s="64"/>
    </row>
    <row r="49" spans="1:7" ht="15.75" x14ac:dyDescent="0.25">
      <c r="A49" s="140">
        <f>A48+A47+A45+A35</f>
        <v>75.7</v>
      </c>
      <c r="B49" s="141">
        <f>B48+B47+B45+B35</f>
        <v>220.67500000000001</v>
      </c>
      <c r="C49" s="113" t="s">
        <v>162</v>
      </c>
      <c r="D49" s="113"/>
      <c r="E49" s="81"/>
      <c r="F49" s="81"/>
      <c r="G49" s="83"/>
    </row>
    <row r="50" spans="1:7" ht="15.75" thickBot="1" x14ac:dyDescent="0.3">
      <c r="A50" s="142">
        <f>A49*A34+B49*B34</f>
        <v>90.197500000000005</v>
      </c>
      <c r="B50" s="114" t="s">
        <v>163</v>
      </c>
      <c r="C50" s="114"/>
      <c r="D50" s="114"/>
      <c r="E50" s="114"/>
      <c r="F50" s="89"/>
      <c r="G50" s="91"/>
    </row>
    <row r="51" spans="1:7" ht="15.75" thickBot="1" x14ac:dyDescent="0.3"/>
    <row r="52" spans="1:7" ht="15.75" x14ac:dyDescent="0.25">
      <c r="A52" s="77" t="s">
        <v>164</v>
      </c>
      <c r="B52" s="78"/>
      <c r="C52" s="78"/>
      <c r="D52" s="78"/>
      <c r="E52" s="78"/>
      <c r="F52" s="79"/>
    </row>
    <row r="53" spans="1:7" x14ac:dyDescent="0.25">
      <c r="A53" s="107">
        <f>A17/100*[1]sccloss!A32</f>
        <v>8.7210000000000001</v>
      </c>
      <c r="B53" s="63" t="s">
        <v>81</v>
      </c>
      <c r="C53" s="63"/>
      <c r="D53" s="63"/>
      <c r="E53" s="63"/>
      <c r="F53" s="64"/>
    </row>
    <row r="54" spans="1:7" x14ac:dyDescent="0.25">
      <c r="A54" s="115">
        <f>A18/100*[1]sccloss!A18</f>
        <v>53.549818181818168</v>
      </c>
      <c r="B54" s="116" t="s">
        <v>82</v>
      </c>
      <c r="C54" s="116"/>
      <c r="D54" s="116"/>
      <c r="E54" s="116"/>
      <c r="F54" s="117"/>
    </row>
    <row r="55" spans="1:7" ht="15.75" thickBot="1" x14ac:dyDescent="0.3">
      <c r="A55" s="118">
        <f>A54+A53</f>
        <v>62.270818181818171</v>
      </c>
      <c r="B55" s="69" t="s">
        <v>83</v>
      </c>
      <c r="C55" s="69"/>
      <c r="D55" s="69"/>
      <c r="E55" s="69"/>
      <c r="F55" s="70"/>
    </row>
    <row r="56" spans="1:7" ht="15.75" thickBot="1" x14ac:dyDescent="0.3"/>
    <row r="57" spans="1:7" ht="15.75" x14ac:dyDescent="0.25">
      <c r="A57" s="77" t="s">
        <v>84</v>
      </c>
      <c r="B57" s="78"/>
      <c r="C57" s="78"/>
      <c r="D57" s="78"/>
      <c r="E57" s="78"/>
      <c r="F57" s="79"/>
    </row>
    <row r="58" spans="1:7" x14ac:dyDescent="0.25">
      <c r="A58" s="143">
        <f>B59*B60</f>
        <v>4352.5</v>
      </c>
      <c r="B58" s="63" t="s">
        <v>85</v>
      </c>
      <c r="C58" s="63"/>
      <c r="D58" s="63"/>
      <c r="E58" s="63"/>
      <c r="F58" s="64"/>
    </row>
    <row r="59" spans="1:7" x14ac:dyDescent="0.25">
      <c r="A59" s="144"/>
      <c r="B59" s="63">
        <f>A29-E14</f>
        <v>5</v>
      </c>
      <c r="C59" s="63" t="s">
        <v>86</v>
      </c>
      <c r="D59" s="63"/>
      <c r="E59" s="63"/>
      <c r="F59" s="64"/>
    </row>
    <row r="60" spans="1:7" x14ac:dyDescent="0.25">
      <c r="A60" s="144"/>
      <c r="B60" s="145">
        <f>H23+H30-H22</f>
        <v>870.5</v>
      </c>
      <c r="C60" s="63" t="s">
        <v>87</v>
      </c>
      <c r="D60" s="63"/>
      <c r="E60" s="63"/>
      <c r="F60" s="64"/>
    </row>
    <row r="61" spans="1:7" x14ac:dyDescent="0.25">
      <c r="A61" s="146">
        <f>B62*B63</f>
        <v>2641</v>
      </c>
      <c r="B61" s="63" t="s">
        <v>88</v>
      </c>
      <c r="C61" s="63"/>
      <c r="D61" s="63"/>
      <c r="E61" s="63"/>
      <c r="F61" s="64"/>
    </row>
    <row r="62" spans="1:7" x14ac:dyDescent="0.25">
      <c r="A62" s="144"/>
      <c r="B62" s="63">
        <f>A27-E12</f>
        <v>2</v>
      </c>
      <c r="C62" s="63" t="s">
        <v>89</v>
      </c>
      <c r="D62" s="63"/>
      <c r="E62" s="63"/>
      <c r="F62" s="64"/>
    </row>
    <row r="63" spans="1:7" ht="15.75" thickBot="1" x14ac:dyDescent="0.3">
      <c r="A63" s="147"/>
      <c r="B63" s="148">
        <f>H23+H25+H30</f>
        <v>1320.5</v>
      </c>
      <c r="C63" s="69" t="s">
        <v>90</v>
      </c>
      <c r="D63" s="69"/>
      <c r="E63" s="69"/>
      <c r="F63" s="70"/>
    </row>
  </sheetData>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selection activeCell="I35" sqref="I35"/>
    </sheetView>
  </sheetViews>
  <sheetFormatPr baseColWidth="10" defaultRowHeight="15" x14ac:dyDescent="0.25"/>
  <cols>
    <col min="1" max="8" width="10.28515625" style="13" customWidth="1"/>
    <col min="9" max="9" width="11.7109375" style="13" customWidth="1"/>
    <col min="10" max="264" width="10.28515625" style="13" customWidth="1"/>
    <col min="265" max="265" width="11.7109375" style="13" customWidth="1"/>
    <col min="266" max="520" width="10.28515625" style="13" customWidth="1"/>
    <col min="521" max="521" width="11.7109375" style="13" customWidth="1"/>
    <col min="522" max="776" width="10.28515625" style="13" customWidth="1"/>
    <col min="777" max="777" width="11.7109375" style="13" customWidth="1"/>
    <col min="778" max="1032" width="10.28515625" style="13" customWidth="1"/>
    <col min="1033" max="1033" width="11.7109375" style="13" customWidth="1"/>
    <col min="1034" max="1288" width="10.28515625" style="13" customWidth="1"/>
    <col min="1289" max="1289" width="11.7109375" style="13" customWidth="1"/>
    <col min="1290" max="1544" width="10.28515625" style="13" customWidth="1"/>
    <col min="1545" max="1545" width="11.7109375" style="13" customWidth="1"/>
    <col min="1546" max="1800" width="10.28515625" style="13" customWidth="1"/>
    <col min="1801" max="1801" width="11.7109375" style="13" customWidth="1"/>
    <col min="1802" max="2056" width="10.28515625" style="13" customWidth="1"/>
    <col min="2057" max="2057" width="11.7109375" style="13" customWidth="1"/>
    <col min="2058" max="2312" width="10.28515625" style="13" customWidth="1"/>
    <col min="2313" max="2313" width="11.7109375" style="13" customWidth="1"/>
    <col min="2314" max="2568" width="10.28515625" style="13" customWidth="1"/>
    <col min="2569" max="2569" width="11.7109375" style="13" customWidth="1"/>
    <col min="2570" max="2824" width="10.28515625" style="13" customWidth="1"/>
    <col min="2825" max="2825" width="11.7109375" style="13" customWidth="1"/>
    <col min="2826" max="3080" width="10.28515625" style="13" customWidth="1"/>
    <col min="3081" max="3081" width="11.7109375" style="13" customWidth="1"/>
    <col min="3082" max="3336" width="10.28515625" style="13" customWidth="1"/>
    <col min="3337" max="3337" width="11.7109375" style="13" customWidth="1"/>
    <col min="3338" max="3592" width="10.28515625" style="13" customWidth="1"/>
    <col min="3593" max="3593" width="11.7109375" style="13" customWidth="1"/>
    <col min="3594" max="3848" width="10.28515625" style="13" customWidth="1"/>
    <col min="3849" max="3849" width="11.7109375" style="13" customWidth="1"/>
    <col min="3850" max="4104" width="10.28515625" style="13" customWidth="1"/>
    <col min="4105" max="4105" width="11.7109375" style="13" customWidth="1"/>
    <col min="4106" max="4360" width="10.28515625" style="13" customWidth="1"/>
    <col min="4361" max="4361" width="11.7109375" style="13" customWidth="1"/>
    <col min="4362" max="4616" width="10.28515625" style="13" customWidth="1"/>
    <col min="4617" max="4617" width="11.7109375" style="13" customWidth="1"/>
    <col min="4618" max="4872" width="10.28515625" style="13" customWidth="1"/>
    <col min="4873" max="4873" width="11.7109375" style="13" customWidth="1"/>
    <col min="4874" max="5128" width="10.28515625" style="13" customWidth="1"/>
    <col min="5129" max="5129" width="11.7109375" style="13" customWidth="1"/>
    <col min="5130" max="5384" width="10.28515625" style="13" customWidth="1"/>
    <col min="5385" max="5385" width="11.7109375" style="13" customWidth="1"/>
    <col min="5386" max="5640" width="10.28515625" style="13" customWidth="1"/>
    <col min="5641" max="5641" width="11.7109375" style="13" customWidth="1"/>
    <col min="5642" max="5896" width="10.28515625" style="13" customWidth="1"/>
    <col min="5897" max="5897" width="11.7109375" style="13" customWidth="1"/>
    <col min="5898" max="6152" width="10.28515625" style="13" customWidth="1"/>
    <col min="6153" max="6153" width="11.7109375" style="13" customWidth="1"/>
    <col min="6154" max="6408" width="10.28515625" style="13" customWidth="1"/>
    <col min="6409" max="6409" width="11.7109375" style="13" customWidth="1"/>
    <col min="6410" max="6664" width="10.28515625" style="13" customWidth="1"/>
    <col min="6665" max="6665" width="11.7109375" style="13" customWidth="1"/>
    <col min="6666" max="6920" width="10.28515625" style="13" customWidth="1"/>
    <col min="6921" max="6921" width="11.7109375" style="13" customWidth="1"/>
    <col min="6922" max="7176" width="10.28515625" style="13" customWidth="1"/>
    <col min="7177" max="7177" width="11.7109375" style="13" customWidth="1"/>
    <col min="7178" max="7432" width="10.28515625" style="13" customWidth="1"/>
    <col min="7433" max="7433" width="11.7109375" style="13" customWidth="1"/>
    <col min="7434" max="7688" width="10.28515625" style="13" customWidth="1"/>
    <col min="7689" max="7689" width="11.7109375" style="13" customWidth="1"/>
    <col min="7690" max="7944" width="10.28515625" style="13" customWidth="1"/>
    <col min="7945" max="7945" width="11.7109375" style="13" customWidth="1"/>
    <col min="7946" max="8200" width="10.28515625" style="13" customWidth="1"/>
    <col min="8201" max="8201" width="11.7109375" style="13" customWidth="1"/>
    <col min="8202" max="8456" width="10.28515625" style="13" customWidth="1"/>
    <col min="8457" max="8457" width="11.7109375" style="13" customWidth="1"/>
    <col min="8458" max="8712" width="10.28515625" style="13" customWidth="1"/>
    <col min="8713" max="8713" width="11.7109375" style="13" customWidth="1"/>
    <col min="8714" max="8968" width="10.28515625" style="13" customWidth="1"/>
    <col min="8969" max="8969" width="11.7109375" style="13" customWidth="1"/>
    <col min="8970" max="9224" width="10.28515625" style="13" customWidth="1"/>
    <col min="9225" max="9225" width="11.7109375" style="13" customWidth="1"/>
    <col min="9226" max="9480" width="10.28515625" style="13" customWidth="1"/>
    <col min="9481" max="9481" width="11.7109375" style="13" customWidth="1"/>
    <col min="9482" max="9736" width="10.28515625" style="13" customWidth="1"/>
    <col min="9737" max="9737" width="11.7109375" style="13" customWidth="1"/>
    <col min="9738" max="9992" width="10.28515625" style="13" customWidth="1"/>
    <col min="9993" max="9993" width="11.7109375" style="13" customWidth="1"/>
    <col min="9994" max="10248" width="10.28515625" style="13" customWidth="1"/>
    <col min="10249" max="10249" width="11.7109375" style="13" customWidth="1"/>
    <col min="10250" max="10504" width="10.28515625" style="13" customWidth="1"/>
    <col min="10505" max="10505" width="11.7109375" style="13" customWidth="1"/>
    <col min="10506" max="10760" width="10.28515625" style="13" customWidth="1"/>
    <col min="10761" max="10761" width="11.7109375" style="13" customWidth="1"/>
    <col min="10762" max="11016" width="10.28515625" style="13" customWidth="1"/>
    <col min="11017" max="11017" width="11.7109375" style="13" customWidth="1"/>
    <col min="11018" max="11272" width="10.28515625" style="13" customWidth="1"/>
    <col min="11273" max="11273" width="11.7109375" style="13" customWidth="1"/>
    <col min="11274" max="11528" width="10.28515625" style="13" customWidth="1"/>
    <col min="11529" max="11529" width="11.7109375" style="13" customWidth="1"/>
    <col min="11530" max="11784" width="10.28515625" style="13" customWidth="1"/>
    <col min="11785" max="11785" width="11.7109375" style="13" customWidth="1"/>
    <col min="11786" max="12040" width="10.28515625" style="13" customWidth="1"/>
    <col min="12041" max="12041" width="11.7109375" style="13" customWidth="1"/>
    <col min="12042" max="12296" width="10.28515625" style="13" customWidth="1"/>
    <col min="12297" max="12297" width="11.7109375" style="13" customWidth="1"/>
    <col min="12298" max="12552" width="10.28515625" style="13" customWidth="1"/>
    <col min="12553" max="12553" width="11.7109375" style="13" customWidth="1"/>
    <col min="12554" max="12808" width="10.28515625" style="13" customWidth="1"/>
    <col min="12809" max="12809" width="11.7109375" style="13" customWidth="1"/>
    <col min="12810" max="13064" width="10.28515625" style="13" customWidth="1"/>
    <col min="13065" max="13065" width="11.7109375" style="13" customWidth="1"/>
    <col min="13066" max="13320" width="10.28515625" style="13" customWidth="1"/>
    <col min="13321" max="13321" width="11.7109375" style="13" customWidth="1"/>
    <col min="13322" max="13576" width="10.28515625" style="13" customWidth="1"/>
    <col min="13577" max="13577" width="11.7109375" style="13" customWidth="1"/>
    <col min="13578" max="13832" width="10.28515625" style="13" customWidth="1"/>
    <col min="13833" max="13833" width="11.7109375" style="13" customWidth="1"/>
    <col min="13834" max="14088" width="10.28515625" style="13" customWidth="1"/>
    <col min="14089" max="14089" width="11.7109375" style="13" customWidth="1"/>
    <col min="14090" max="14344" width="10.28515625" style="13" customWidth="1"/>
    <col min="14345" max="14345" width="11.7109375" style="13" customWidth="1"/>
    <col min="14346" max="14600" width="10.28515625" style="13" customWidth="1"/>
    <col min="14601" max="14601" width="11.7109375" style="13" customWidth="1"/>
    <col min="14602" max="14856" width="10.28515625" style="13" customWidth="1"/>
    <col min="14857" max="14857" width="11.7109375" style="13" customWidth="1"/>
    <col min="14858" max="15112" width="10.28515625" style="13" customWidth="1"/>
    <col min="15113" max="15113" width="11.7109375" style="13" customWidth="1"/>
    <col min="15114" max="15368" width="10.28515625" style="13" customWidth="1"/>
    <col min="15369" max="15369" width="11.7109375" style="13" customWidth="1"/>
    <col min="15370" max="15624" width="10.28515625" style="13" customWidth="1"/>
    <col min="15625" max="15625" width="11.7109375" style="13" customWidth="1"/>
    <col min="15626" max="15880" width="10.28515625" style="13" customWidth="1"/>
    <col min="15881" max="15881" width="11.7109375" style="13" customWidth="1"/>
    <col min="15882" max="16136" width="10.28515625" style="13" customWidth="1"/>
    <col min="16137" max="16137" width="11.7109375" style="13" customWidth="1"/>
    <col min="16138" max="16384" width="10.28515625" style="13" customWidth="1"/>
  </cols>
  <sheetData>
    <row r="1" spans="1:21" ht="15.75" x14ac:dyDescent="0.25">
      <c r="A1" s="76" t="s">
        <v>174</v>
      </c>
    </row>
    <row r="2" spans="1:21" ht="15.75" x14ac:dyDescent="0.25">
      <c r="B2" s="168">
        <f>ROUND(('[1]totals and goals'!A12/50),0)*50</f>
        <v>200</v>
      </c>
      <c r="C2" s="168" t="s">
        <v>175</v>
      </c>
      <c r="D2" s="169"/>
    </row>
    <row r="3" spans="1:21" ht="15.75" x14ac:dyDescent="0.25">
      <c r="B3" s="168">
        <f>ROUND('[1]totals and goals'!A23/50,0)*50</f>
        <v>400</v>
      </c>
      <c r="C3" s="168" t="s">
        <v>176</v>
      </c>
      <c r="D3" s="169"/>
      <c r="F3" s="76" t="s">
        <v>177</v>
      </c>
    </row>
    <row r="4" spans="1:21" ht="15.75" x14ac:dyDescent="0.25">
      <c r="B4" s="168">
        <v>100</v>
      </c>
      <c r="C4" s="168" t="s">
        <v>178</v>
      </c>
      <c r="D4" s="169"/>
    </row>
    <row r="6" spans="1:21" ht="15.75" x14ac:dyDescent="0.25">
      <c r="A6" s="170" t="s">
        <v>179</v>
      </c>
      <c r="B6" s="171" t="s">
        <v>180</v>
      </c>
      <c r="D6" s="170"/>
      <c r="G6" s="170"/>
      <c r="H6" s="170"/>
      <c r="I6" s="170"/>
      <c r="J6" s="170"/>
      <c r="K6" s="170"/>
      <c r="L6" s="170"/>
      <c r="M6" s="170"/>
      <c r="N6" s="170"/>
      <c r="O6" s="170"/>
      <c r="P6" s="170"/>
      <c r="Q6" s="170"/>
      <c r="R6" s="170"/>
      <c r="S6" s="170"/>
      <c r="T6" s="170"/>
      <c r="U6" s="170"/>
    </row>
    <row r="7" spans="1:21" ht="15.75" x14ac:dyDescent="0.25">
      <c r="A7" s="172" t="s">
        <v>181</v>
      </c>
      <c r="B7" s="172" t="s">
        <v>181</v>
      </c>
      <c r="C7" s="172" t="s">
        <v>182</v>
      </c>
      <c r="D7" s="172" t="s">
        <v>183</v>
      </c>
      <c r="E7" s="172" t="s">
        <v>184</v>
      </c>
      <c r="F7" s="172" t="s">
        <v>185</v>
      </c>
      <c r="G7" s="172" t="s">
        <v>186</v>
      </c>
      <c r="H7" s="173" t="s">
        <v>187</v>
      </c>
      <c r="I7" s="174" t="s">
        <v>188</v>
      </c>
      <c r="J7" s="172">
        <v>150</v>
      </c>
      <c r="K7" s="172">
        <v>200</v>
      </c>
      <c r="L7" s="172">
        <f>K7+50</f>
        <v>250</v>
      </c>
      <c r="M7" s="172">
        <f t="shared" ref="M7:U7" si="0">L7+50</f>
        <v>300</v>
      </c>
      <c r="N7" s="172">
        <f t="shared" si="0"/>
        <v>350</v>
      </c>
      <c r="O7" s="172">
        <f t="shared" si="0"/>
        <v>400</v>
      </c>
      <c r="P7" s="172">
        <f t="shared" si="0"/>
        <v>450</v>
      </c>
      <c r="Q7" s="172">
        <f t="shared" si="0"/>
        <v>500</v>
      </c>
      <c r="R7" s="172">
        <f t="shared" si="0"/>
        <v>550</v>
      </c>
      <c r="S7" s="172">
        <f t="shared" si="0"/>
        <v>600</v>
      </c>
      <c r="T7" s="172">
        <f t="shared" si="0"/>
        <v>650</v>
      </c>
      <c r="U7" s="172">
        <f t="shared" si="0"/>
        <v>700</v>
      </c>
    </row>
    <row r="8" spans="1:21" ht="15.75" x14ac:dyDescent="0.25">
      <c r="A8" s="175">
        <f t="shared" ref="A8:A17" si="1">$B$4*C8*B8</f>
        <v>0</v>
      </c>
      <c r="B8" s="13">
        <v>0</v>
      </c>
      <c r="C8" s="176">
        <f>E8-D8</f>
        <v>-7.3924950150847379E-2</v>
      </c>
      <c r="D8" s="176">
        <f>HLOOKUP($B$2,$J$7:$U$17,2)</f>
        <v>0.13362644268816082</v>
      </c>
      <c r="E8" s="176">
        <f>HLOOKUP($B$3,$J$7:$U$17,2)</f>
        <v>5.9701492537313439E-2</v>
      </c>
      <c r="F8" s="177">
        <v>0</v>
      </c>
      <c r="G8" s="178">
        <v>0.14101893770324556</v>
      </c>
      <c r="H8" s="178">
        <v>5.9701492537313432E-2</v>
      </c>
      <c r="I8" s="179">
        <f>(H8-G8)/220</f>
        <v>-3.6962475075423692E-4</v>
      </c>
      <c r="J8" s="180">
        <f t="shared" ref="J8:U17" si="2">$G8+(J$7-180)*$I8</f>
        <v>0.15210768022587268</v>
      </c>
      <c r="K8" s="176">
        <f t="shared" si="2"/>
        <v>0.13362644268816082</v>
      </c>
      <c r="L8" s="176">
        <f t="shared" si="2"/>
        <v>0.11514520515044897</v>
      </c>
      <c r="M8" s="176">
        <f t="shared" si="2"/>
        <v>9.6663967612737128E-2</v>
      </c>
      <c r="N8" s="176">
        <f t="shared" si="2"/>
        <v>7.8182730075025283E-2</v>
      </c>
      <c r="O8" s="176">
        <f t="shared" si="2"/>
        <v>5.9701492537313439E-2</v>
      </c>
      <c r="P8" s="176">
        <f t="shared" si="2"/>
        <v>4.1220254999601594E-2</v>
      </c>
      <c r="Q8" s="176">
        <f t="shared" si="2"/>
        <v>2.2739017461889749E-2</v>
      </c>
      <c r="R8" s="176">
        <f t="shared" si="2"/>
        <v>4.2577799241778902E-3</v>
      </c>
      <c r="S8" s="176">
        <f t="shared" si="2"/>
        <v>-1.4223457613533941E-2</v>
      </c>
      <c r="T8" s="176">
        <f t="shared" si="2"/>
        <v>-3.27046951512458E-2</v>
      </c>
      <c r="U8" s="176">
        <f t="shared" si="2"/>
        <v>-5.118593268895763E-2</v>
      </c>
    </row>
    <row r="9" spans="1:21" ht="15.75" x14ac:dyDescent="0.25">
      <c r="A9" s="175">
        <f t="shared" si="1"/>
        <v>0</v>
      </c>
      <c r="B9" s="13">
        <v>0</v>
      </c>
      <c r="C9" s="176">
        <f t="shared" ref="C9:C17" si="3">E9-D9</f>
        <v>-7.8792401628222514E-2</v>
      </c>
      <c r="D9" s="176">
        <f>HLOOKUP($B$2,$J$7:$U$17,3)</f>
        <v>0.21312075983717774</v>
      </c>
      <c r="E9" s="176">
        <f>HLOOKUP($B$3,$J$7:$U$17,3)</f>
        <v>0.13432835820895522</v>
      </c>
      <c r="F9" s="181">
        <v>1</v>
      </c>
      <c r="G9" s="182">
        <v>0.221</v>
      </c>
      <c r="H9" s="182">
        <v>0.13432835820895522</v>
      </c>
      <c r="I9" s="179">
        <f t="shared" ref="I9:I17" si="4">(H9-G9)/220</f>
        <v>-3.9396200814111266E-4</v>
      </c>
      <c r="J9" s="183">
        <f t="shared" si="2"/>
        <v>0.23281886024423337</v>
      </c>
      <c r="K9" s="176">
        <f t="shared" si="2"/>
        <v>0.21312075983717774</v>
      </c>
      <c r="L9" s="176">
        <f t="shared" si="2"/>
        <v>0.1934226594301221</v>
      </c>
      <c r="M9" s="176">
        <f t="shared" si="2"/>
        <v>0.17372455902306649</v>
      </c>
      <c r="N9" s="176">
        <f t="shared" si="2"/>
        <v>0.15402645861601083</v>
      </c>
      <c r="O9" s="176">
        <f t="shared" si="2"/>
        <v>0.13432835820895522</v>
      </c>
      <c r="P9" s="176">
        <f t="shared" si="2"/>
        <v>0.11463025780189959</v>
      </c>
      <c r="Q9" s="176">
        <f t="shared" si="2"/>
        <v>9.4932157394843952E-2</v>
      </c>
      <c r="R9" s="176">
        <f t="shared" si="2"/>
        <v>7.5234056987788317E-2</v>
      </c>
      <c r="S9" s="176">
        <f t="shared" si="2"/>
        <v>5.5535956580732682E-2</v>
      </c>
      <c r="T9" s="176">
        <f t="shared" si="2"/>
        <v>3.5837856173677046E-2</v>
      </c>
      <c r="U9" s="176">
        <f t="shared" si="2"/>
        <v>1.6139755766621411E-2</v>
      </c>
    </row>
    <row r="10" spans="1:21" ht="15.75" x14ac:dyDescent="0.25">
      <c r="A10" s="175">
        <f t="shared" si="1"/>
        <v>0</v>
      </c>
      <c r="B10" s="13">
        <v>0</v>
      </c>
      <c r="C10" s="176">
        <f t="shared" si="3"/>
        <v>-3.2632293080054275E-2</v>
      </c>
      <c r="D10" s="176">
        <f>HLOOKUP($B$2,$J$7:$U$17,4)</f>
        <v>0.21173677069199456</v>
      </c>
      <c r="E10" s="176">
        <f>HLOOKUP($B$3,$J$7:$U$17,4)</f>
        <v>0.17910447761194029</v>
      </c>
      <c r="F10" s="181">
        <v>2</v>
      </c>
      <c r="G10" s="182">
        <v>0.215</v>
      </c>
      <c r="H10" s="182">
        <v>0.17910447761194029</v>
      </c>
      <c r="I10" s="179">
        <f t="shared" si="4"/>
        <v>-1.631614654002714E-4</v>
      </c>
      <c r="J10" s="183">
        <f t="shared" si="2"/>
        <v>0.21989484396200815</v>
      </c>
      <c r="K10" s="176">
        <f t="shared" si="2"/>
        <v>0.21173677069199456</v>
      </c>
      <c r="L10" s="176">
        <f t="shared" si="2"/>
        <v>0.20357869742198101</v>
      </c>
      <c r="M10" s="176">
        <f t="shared" si="2"/>
        <v>0.19542062415196743</v>
      </c>
      <c r="N10" s="176">
        <f t="shared" si="2"/>
        <v>0.18726255088195387</v>
      </c>
      <c r="O10" s="176">
        <f t="shared" si="2"/>
        <v>0.17910447761194029</v>
      </c>
      <c r="P10" s="176">
        <f t="shared" si="2"/>
        <v>0.17094640434192671</v>
      </c>
      <c r="Q10" s="176">
        <f t="shared" si="2"/>
        <v>0.16278833107191315</v>
      </c>
      <c r="R10" s="176">
        <f t="shared" si="2"/>
        <v>0.1546302578018996</v>
      </c>
      <c r="S10" s="176">
        <f t="shared" si="2"/>
        <v>0.14647218453188601</v>
      </c>
      <c r="T10" s="176">
        <f t="shared" si="2"/>
        <v>0.13831411126187243</v>
      </c>
      <c r="U10" s="176">
        <f t="shared" si="2"/>
        <v>0.13015603799185888</v>
      </c>
    </row>
    <row r="11" spans="1:21" ht="15.75" x14ac:dyDescent="0.25">
      <c r="A11" s="184">
        <f t="shared" si="1"/>
        <v>0.49389416553595578</v>
      </c>
      <c r="B11" s="13">
        <v>1.3</v>
      </c>
      <c r="C11" s="176">
        <f t="shared" si="3"/>
        <v>3.7991858887381214E-3</v>
      </c>
      <c r="D11" s="176">
        <f>HLOOKUP($B$2,$J$7:$U$17,5)</f>
        <v>0.16037991858887382</v>
      </c>
      <c r="E11" s="176">
        <f>HLOOKUP($B$3,$J$7:$U$17,5)</f>
        <v>0.16417910447761194</v>
      </c>
      <c r="F11" s="181">
        <v>3</v>
      </c>
      <c r="G11" s="182">
        <v>0.16</v>
      </c>
      <c r="H11" s="182">
        <v>0.16417910447761194</v>
      </c>
      <c r="I11" s="179">
        <f t="shared" si="4"/>
        <v>1.8995929443690632E-5</v>
      </c>
      <c r="J11" s="183">
        <f t="shared" si="2"/>
        <v>0.15943012211668928</v>
      </c>
      <c r="K11" s="176">
        <f t="shared" si="2"/>
        <v>0.16037991858887382</v>
      </c>
      <c r="L11" s="176">
        <f t="shared" si="2"/>
        <v>0.16132971506105834</v>
      </c>
      <c r="M11" s="176">
        <f t="shared" si="2"/>
        <v>0.16227951153324288</v>
      </c>
      <c r="N11" s="176">
        <f t="shared" si="2"/>
        <v>0.1632293080054274</v>
      </c>
      <c r="O11" s="176">
        <f t="shared" si="2"/>
        <v>0.16417910447761194</v>
      </c>
      <c r="P11" s="176">
        <f t="shared" si="2"/>
        <v>0.16512890094979649</v>
      </c>
      <c r="Q11" s="176">
        <f t="shared" si="2"/>
        <v>0.166078697421981</v>
      </c>
      <c r="R11" s="176">
        <f t="shared" si="2"/>
        <v>0.16702849389416555</v>
      </c>
      <c r="S11" s="176">
        <f t="shared" si="2"/>
        <v>0.16797829036635006</v>
      </c>
      <c r="T11" s="176">
        <f t="shared" si="2"/>
        <v>0.16892808683853461</v>
      </c>
      <c r="U11" s="176">
        <f t="shared" si="2"/>
        <v>0.16987788331071912</v>
      </c>
    </row>
    <row r="12" spans="1:21" ht="15.75" x14ac:dyDescent="0.25">
      <c r="A12" s="184">
        <f t="shared" si="1"/>
        <v>8.8054274084124806</v>
      </c>
      <c r="B12" s="81">
        <v>2.6</v>
      </c>
      <c r="C12" s="176">
        <f t="shared" si="3"/>
        <v>3.3867028493894155E-2</v>
      </c>
      <c r="D12" s="176">
        <f>HLOOKUP($B$2,$J$7:$U$17,6)</f>
        <v>0.11538670284938941</v>
      </c>
      <c r="E12" s="176">
        <f>HLOOKUP($B$3,$J$7:$U$17,6)</f>
        <v>0.14925373134328357</v>
      </c>
      <c r="F12" s="181">
        <v>4</v>
      </c>
      <c r="G12" s="185">
        <v>0.112</v>
      </c>
      <c r="H12" s="185">
        <v>0.14925373134328357</v>
      </c>
      <c r="I12" s="179">
        <f t="shared" si="4"/>
        <v>1.6933514246947077E-4</v>
      </c>
      <c r="J12" s="183">
        <f t="shared" si="2"/>
        <v>0.10691994572591589</v>
      </c>
      <c r="K12" s="176">
        <f t="shared" si="2"/>
        <v>0.11538670284938941</v>
      </c>
      <c r="L12" s="176">
        <f t="shared" si="2"/>
        <v>0.12385345997286296</v>
      </c>
      <c r="M12" s="176">
        <f t="shared" si="2"/>
        <v>0.13232021709633648</v>
      </c>
      <c r="N12" s="176">
        <f t="shared" si="2"/>
        <v>0.14078697421981004</v>
      </c>
      <c r="O12" s="176">
        <f t="shared" si="2"/>
        <v>0.14925373134328357</v>
      </c>
      <c r="P12" s="176">
        <f t="shared" si="2"/>
        <v>0.15772048846675712</v>
      </c>
      <c r="Q12" s="176">
        <f t="shared" si="2"/>
        <v>0.16618724559023065</v>
      </c>
      <c r="R12" s="176">
        <f t="shared" si="2"/>
        <v>0.17465400271370418</v>
      </c>
      <c r="S12" s="176">
        <f t="shared" si="2"/>
        <v>0.18312075983717774</v>
      </c>
      <c r="T12" s="176">
        <f t="shared" si="2"/>
        <v>0.19158751696065127</v>
      </c>
      <c r="U12" s="176">
        <f t="shared" si="2"/>
        <v>0.20005427408412479</v>
      </c>
    </row>
    <row r="13" spans="1:21" ht="15.75" x14ac:dyDescent="0.25">
      <c r="A13" s="184">
        <f t="shared" si="1"/>
        <v>17.161058344640438</v>
      </c>
      <c r="B13" s="13">
        <v>3.9</v>
      </c>
      <c r="C13" s="176">
        <f t="shared" si="3"/>
        <v>4.4002713704206248E-2</v>
      </c>
      <c r="D13" s="176">
        <f>HLOOKUP($B$2,$J$7:$U$17,7)</f>
        <v>7.5400271370420616E-2</v>
      </c>
      <c r="E13" s="176">
        <f>HLOOKUP($B$3,$J$7:$U$17,7)</f>
        <v>0.11940298507462686</v>
      </c>
      <c r="F13" s="181">
        <v>5</v>
      </c>
      <c r="G13" s="182">
        <v>7.0999999999999994E-2</v>
      </c>
      <c r="H13" s="182">
        <v>0.11940298507462686</v>
      </c>
      <c r="I13" s="179">
        <f t="shared" si="4"/>
        <v>2.2001356852103122E-4</v>
      </c>
      <c r="J13" s="183">
        <f t="shared" si="2"/>
        <v>6.4399592944369061E-2</v>
      </c>
      <c r="K13" s="176">
        <f t="shared" si="2"/>
        <v>7.5400271370420616E-2</v>
      </c>
      <c r="L13" s="176">
        <f t="shared" si="2"/>
        <v>8.6400949796472185E-2</v>
      </c>
      <c r="M13" s="176">
        <f t="shared" si="2"/>
        <v>9.740162822252374E-2</v>
      </c>
      <c r="N13" s="176">
        <f t="shared" si="2"/>
        <v>0.10840230664857531</v>
      </c>
      <c r="O13" s="176">
        <f t="shared" si="2"/>
        <v>0.11940298507462686</v>
      </c>
      <c r="P13" s="176">
        <f t="shared" si="2"/>
        <v>0.13040366350067842</v>
      </c>
      <c r="Q13" s="176">
        <f t="shared" si="2"/>
        <v>0.14140434192672999</v>
      </c>
      <c r="R13" s="176">
        <f t="shared" si="2"/>
        <v>0.15240502035278153</v>
      </c>
      <c r="S13" s="176">
        <f t="shared" si="2"/>
        <v>0.1634056987788331</v>
      </c>
      <c r="T13" s="176">
        <f t="shared" si="2"/>
        <v>0.17440637720488467</v>
      </c>
      <c r="U13" s="176">
        <f t="shared" si="2"/>
        <v>0.18540705563093623</v>
      </c>
    </row>
    <row r="14" spans="1:21" ht="15.75" x14ac:dyDescent="0.25">
      <c r="A14" s="184">
        <f t="shared" si="1"/>
        <v>22.006512890094982</v>
      </c>
      <c r="B14" s="13">
        <v>5.2</v>
      </c>
      <c r="C14" s="176">
        <f t="shared" si="3"/>
        <v>4.2320217096336502E-2</v>
      </c>
      <c r="D14" s="176">
        <f>HLOOKUP($B$2,$J$7:$U$17,8)</f>
        <v>4.7232021709633643E-2</v>
      </c>
      <c r="E14" s="176">
        <f>HLOOKUP($B$3,$J$7:$U$17,8)</f>
        <v>8.9552238805970144E-2</v>
      </c>
      <c r="F14" s="181">
        <v>6</v>
      </c>
      <c r="G14" s="182">
        <v>4.2999999999999997E-2</v>
      </c>
      <c r="H14" s="182">
        <v>8.9552238805970144E-2</v>
      </c>
      <c r="I14" s="179">
        <f t="shared" si="4"/>
        <v>2.1160108548168248E-4</v>
      </c>
      <c r="J14" s="183">
        <f t="shared" si="2"/>
        <v>3.6651967435549521E-2</v>
      </c>
      <c r="K14" s="176">
        <f t="shared" si="2"/>
        <v>4.7232021709633643E-2</v>
      </c>
      <c r="L14" s="176">
        <f t="shared" si="2"/>
        <v>5.7812075983717771E-2</v>
      </c>
      <c r="M14" s="176">
        <f t="shared" si="2"/>
        <v>6.8392130257801886E-2</v>
      </c>
      <c r="N14" s="176">
        <f t="shared" si="2"/>
        <v>7.8972184531886008E-2</v>
      </c>
      <c r="O14" s="176">
        <f t="shared" si="2"/>
        <v>8.9552238805970144E-2</v>
      </c>
      <c r="P14" s="176">
        <f t="shared" si="2"/>
        <v>0.10013229308005427</v>
      </c>
      <c r="Q14" s="176">
        <f t="shared" si="2"/>
        <v>0.11071234735413839</v>
      </c>
      <c r="R14" s="176">
        <f t="shared" si="2"/>
        <v>0.12129240162822251</v>
      </c>
      <c r="S14" s="176">
        <f t="shared" si="2"/>
        <v>0.13187245590230662</v>
      </c>
      <c r="T14" s="176">
        <f t="shared" si="2"/>
        <v>0.14245251017639077</v>
      </c>
      <c r="U14" s="176">
        <f t="shared" si="2"/>
        <v>0.15303256445047489</v>
      </c>
    </row>
    <row r="15" spans="1:21" ht="15.75" x14ac:dyDescent="0.25">
      <c r="A15" s="184">
        <f t="shared" si="1"/>
        <v>22.020895522388056</v>
      </c>
      <c r="B15" s="13">
        <v>6.6</v>
      </c>
      <c r="C15" s="176">
        <f t="shared" si="3"/>
        <v>3.3364993215739484E-2</v>
      </c>
      <c r="D15" s="176">
        <f>HLOOKUP($B$2,$J$7:$U$17,9)</f>
        <v>2.6336499321573947E-2</v>
      </c>
      <c r="E15" s="176">
        <f>HLOOKUP($B$3,$J$7:$U$17,9)</f>
        <v>5.9701492537313432E-2</v>
      </c>
      <c r="F15" s="181">
        <v>7</v>
      </c>
      <c r="G15" s="182">
        <v>2.3E-2</v>
      </c>
      <c r="H15" s="182">
        <v>5.9701492537313432E-2</v>
      </c>
      <c r="I15" s="179">
        <f t="shared" si="4"/>
        <v>1.6682496607869741E-4</v>
      </c>
      <c r="J15" s="183">
        <f t="shared" si="2"/>
        <v>1.7995251017639078E-2</v>
      </c>
      <c r="K15" s="176">
        <f t="shared" si="2"/>
        <v>2.6336499321573947E-2</v>
      </c>
      <c r="L15" s="176">
        <f t="shared" si="2"/>
        <v>3.467774762550882E-2</v>
      </c>
      <c r="M15" s="176">
        <f t="shared" si="2"/>
        <v>4.3018995929443693E-2</v>
      </c>
      <c r="N15" s="176">
        <f t="shared" si="2"/>
        <v>5.1360244233378559E-2</v>
      </c>
      <c r="O15" s="176">
        <f t="shared" si="2"/>
        <v>5.9701492537313432E-2</v>
      </c>
      <c r="P15" s="176">
        <f t="shared" si="2"/>
        <v>6.8042740841248311E-2</v>
      </c>
      <c r="Q15" s="176">
        <f t="shared" si="2"/>
        <v>7.638398914518317E-2</v>
      </c>
      <c r="R15" s="176">
        <f t="shared" si="2"/>
        <v>8.4725237449118043E-2</v>
      </c>
      <c r="S15" s="176">
        <f t="shared" si="2"/>
        <v>9.3066485753052902E-2</v>
      </c>
      <c r="T15" s="176">
        <f t="shared" si="2"/>
        <v>0.10140773405698777</v>
      </c>
      <c r="U15" s="176">
        <f t="shared" si="2"/>
        <v>0.10974898236092265</v>
      </c>
    </row>
    <row r="16" spans="1:21" ht="15.75" x14ac:dyDescent="0.25">
      <c r="A16" s="184">
        <f t="shared" si="1"/>
        <v>13.538263229308004</v>
      </c>
      <c r="B16" s="13">
        <v>7.9</v>
      </c>
      <c r="C16" s="176">
        <f t="shared" si="3"/>
        <v>1.7137042062415196E-2</v>
      </c>
      <c r="D16" s="176">
        <f>HLOOKUP($B$2,$J$7:$U$17,10)</f>
        <v>1.271370420624152E-2</v>
      </c>
      <c r="E16" s="176">
        <f>HLOOKUP($B$3,$J$7:$U$17,10)</f>
        <v>2.9850746268656716E-2</v>
      </c>
      <c r="F16" s="181">
        <v>8</v>
      </c>
      <c r="G16" s="182">
        <v>1.0999999999999999E-2</v>
      </c>
      <c r="H16" s="182">
        <v>2.9850746268656716E-2</v>
      </c>
      <c r="I16" s="179">
        <f t="shared" si="4"/>
        <v>8.5685210312075986E-5</v>
      </c>
      <c r="J16" s="183">
        <f t="shared" si="2"/>
        <v>8.4294436906377189E-3</v>
      </c>
      <c r="K16" s="176">
        <f t="shared" si="2"/>
        <v>1.271370420624152E-2</v>
      </c>
      <c r="L16" s="176">
        <f t="shared" si="2"/>
        <v>1.6997964721845317E-2</v>
      </c>
      <c r="M16" s="176">
        <f t="shared" si="2"/>
        <v>2.1282225237449118E-2</v>
      </c>
      <c r="N16" s="176">
        <f t="shared" si="2"/>
        <v>2.5566485753052919E-2</v>
      </c>
      <c r="O16" s="176">
        <f t="shared" si="2"/>
        <v>2.9850746268656716E-2</v>
      </c>
      <c r="P16" s="176">
        <f t="shared" si="2"/>
        <v>3.4135006784260513E-2</v>
      </c>
      <c r="Q16" s="176">
        <f t="shared" si="2"/>
        <v>3.8419267299864314E-2</v>
      </c>
      <c r="R16" s="176">
        <f t="shared" si="2"/>
        <v>4.2703527815468115E-2</v>
      </c>
      <c r="S16" s="176">
        <f t="shared" si="2"/>
        <v>4.6987788331071909E-2</v>
      </c>
      <c r="T16" s="176">
        <f t="shared" si="2"/>
        <v>5.1272048846675716E-2</v>
      </c>
      <c r="U16" s="176">
        <f t="shared" si="2"/>
        <v>5.555630936227951E-2</v>
      </c>
    </row>
    <row r="17" spans="1:21" ht="15.75" x14ac:dyDescent="0.25">
      <c r="A17" s="186">
        <f t="shared" si="1"/>
        <v>8.3012211668928089</v>
      </c>
      <c r="B17" s="97">
        <v>9.1999999999999993</v>
      </c>
      <c r="C17" s="187">
        <f t="shared" si="3"/>
        <v>9.0230664857530538E-3</v>
      </c>
      <c r="D17" s="187">
        <f>HLOOKUP($B$2,$J$7:$U$17,11)</f>
        <v>5.9023066485753058E-3</v>
      </c>
      <c r="E17" s="187">
        <f>HLOOKUP($B$3,$J$7:$U$17,11)</f>
        <v>1.492537313432836E-2</v>
      </c>
      <c r="F17" s="188">
        <v>9</v>
      </c>
      <c r="G17" s="189">
        <v>5.0000000000000001E-3</v>
      </c>
      <c r="H17" s="189">
        <v>1.4925373134328358E-2</v>
      </c>
      <c r="I17" s="190">
        <f t="shared" si="4"/>
        <v>4.5115332428765265E-5</v>
      </c>
      <c r="J17" s="187">
        <f t="shared" si="2"/>
        <v>3.6465400271370419E-3</v>
      </c>
      <c r="K17" s="187">
        <f t="shared" si="2"/>
        <v>5.9023066485753058E-3</v>
      </c>
      <c r="L17" s="187">
        <f t="shared" si="2"/>
        <v>8.1580732700135689E-3</v>
      </c>
      <c r="M17" s="187">
        <f t="shared" si="2"/>
        <v>1.0413839891451832E-2</v>
      </c>
      <c r="N17" s="187">
        <f t="shared" si="2"/>
        <v>1.2669606512890095E-2</v>
      </c>
      <c r="O17" s="187">
        <f t="shared" si="2"/>
        <v>1.492537313432836E-2</v>
      </c>
      <c r="P17" s="187">
        <f t="shared" si="2"/>
        <v>1.7181139755766621E-2</v>
      </c>
      <c r="Q17" s="187">
        <f t="shared" si="2"/>
        <v>1.9436906377204886E-2</v>
      </c>
      <c r="R17" s="187">
        <f t="shared" si="2"/>
        <v>2.169267299864315E-2</v>
      </c>
      <c r="S17" s="187">
        <f t="shared" si="2"/>
        <v>2.3948439620081412E-2</v>
      </c>
      <c r="T17" s="187">
        <f t="shared" si="2"/>
        <v>2.6204206241519677E-2</v>
      </c>
      <c r="U17" s="187">
        <f t="shared" si="2"/>
        <v>2.8459972862957938E-2</v>
      </c>
    </row>
    <row r="18" spans="1:21" x14ac:dyDescent="0.25">
      <c r="A18" s="175">
        <f>SUM(A8:A17)</f>
        <v>92.327272727272714</v>
      </c>
      <c r="C18" s="191"/>
      <c r="D18" s="191"/>
      <c r="E18" s="191"/>
      <c r="J18" s="192">
        <f>SUM(J8:J17)</f>
        <v>1.0022942473900518</v>
      </c>
      <c r="K18" s="192">
        <f t="shared" ref="K18:U18" si="5">SUM(K8:K17)</f>
        <v>1.0018353979120413</v>
      </c>
      <c r="L18" s="192">
        <f t="shared" si="5"/>
        <v>1.0013765484340309</v>
      </c>
      <c r="M18" s="192">
        <f t="shared" si="5"/>
        <v>1.0009176989560207</v>
      </c>
      <c r="N18" s="192">
        <f t="shared" si="5"/>
        <v>1.0004588494780102</v>
      </c>
      <c r="O18" s="192">
        <f t="shared" si="5"/>
        <v>1</v>
      </c>
      <c r="P18" s="192">
        <f t="shared" si="5"/>
        <v>0.99954115052198966</v>
      </c>
      <c r="Q18" s="192">
        <f t="shared" si="5"/>
        <v>0.99908230104397933</v>
      </c>
      <c r="R18" s="192">
        <f t="shared" si="5"/>
        <v>0.9986234515659691</v>
      </c>
      <c r="S18" s="192">
        <f t="shared" si="5"/>
        <v>0.99816460208795843</v>
      </c>
      <c r="T18" s="192">
        <f t="shared" si="5"/>
        <v>0.99770575260994809</v>
      </c>
      <c r="U18" s="192">
        <f t="shared" si="5"/>
        <v>0.99724690313193787</v>
      </c>
    </row>
    <row r="19" spans="1:21" x14ac:dyDescent="0.25">
      <c r="A19" s="193"/>
      <c r="C19" s="191"/>
      <c r="D19" s="191"/>
      <c r="E19" s="191"/>
      <c r="J19" s="176"/>
      <c r="K19" s="176"/>
      <c r="L19" s="176"/>
      <c r="M19" s="176"/>
      <c r="N19" s="176"/>
      <c r="O19" s="176"/>
      <c r="P19" s="176"/>
      <c r="Q19" s="176"/>
      <c r="R19" s="176"/>
      <c r="S19" s="176"/>
      <c r="T19" s="176"/>
      <c r="U19" s="176"/>
    </row>
    <row r="20" spans="1:21" ht="15.75" x14ac:dyDescent="0.25">
      <c r="A20" s="170" t="s">
        <v>179</v>
      </c>
      <c r="B20" s="170" t="s">
        <v>189</v>
      </c>
      <c r="C20" s="194"/>
      <c r="D20" s="194"/>
      <c r="E20" s="194"/>
      <c r="F20" s="170"/>
      <c r="G20" s="170"/>
      <c r="H20" s="170"/>
      <c r="I20" s="170"/>
      <c r="J20" s="195"/>
      <c r="K20" s="195"/>
      <c r="L20" s="195"/>
      <c r="M20" s="195"/>
      <c r="N20" s="195"/>
      <c r="O20" s="195"/>
      <c r="P20" s="195"/>
      <c r="Q20" s="195"/>
      <c r="R20" s="195"/>
      <c r="S20" s="195"/>
      <c r="T20" s="195"/>
      <c r="U20" s="195"/>
    </row>
    <row r="21" spans="1:21" ht="15.75" x14ac:dyDescent="0.25">
      <c r="A21" s="172" t="s">
        <v>181</v>
      </c>
      <c r="B21" s="172" t="s">
        <v>181</v>
      </c>
      <c r="C21" s="196" t="s">
        <v>182</v>
      </c>
      <c r="D21" s="196" t="s">
        <v>183</v>
      </c>
      <c r="E21" s="196" t="s">
        <v>184</v>
      </c>
      <c r="F21" s="172" t="s">
        <v>185</v>
      </c>
      <c r="G21" s="172" t="s">
        <v>186</v>
      </c>
      <c r="H21" s="172" t="s">
        <v>187</v>
      </c>
      <c r="I21" s="174" t="s">
        <v>188</v>
      </c>
      <c r="J21" s="197">
        <v>150</v>
      </c>
      <c r="K21" s="197">
        <v>200</v>
      </c>
      <c r="L21" s="197">
        <f>K21+50</f>
        <v>250</v>
      </c>
      <c r="M21" s="197">
        <f t="shared" ref="M21:U21" si="6">L21+50</f>
        <v>300</v>
      </c>
      <c r="N21" s="197">
        <f t="shared" si="6"/>
        <v>350</v>
      </c>
      <c r="O21" s="197">
        <f t="shared" si="6"/>
        <v>400</v>
      </c>
      <c r="P21" s="197">
        <f t="shared" si="6"/>
        <v>450</v>
      </c>
      <c r="Q21" s="197">
        <f t="shared" si="6"/>
        <v>500</v>
      </c>
      <c r="R21" s="197">
        <f t="shared" si="6"/>
        <v>550</v>
      </c>
      <c r="S21" s="197">
        <f t="shared" si="6"/>
        <v>600</v>
      </c>
      <c r="T21" s="197">
        <f t="shared" si="6"/>
        <v>650</v>
      </c>
      <c r="U21" s="197">
        <f t="shared" si="6"/>
        <v>700</v>
      </c>
    </row>
    <row r="22" spans="1:21" ht="15.75" x14ac:dyDescent="0.25">
      <c r="A22" s="175">
        <f t="shared" ref="A22:A31" si="7">$B$4*C22*B22</f>
        <v>0</v>
      </c>
      <c r="B22" s="13">
        <v>0</v>
      </c>
      <c r="C22" s="176">
        <f>E22-D22</f>
        <v>-7.5614973262032079E-2</v>
      </c>
      <c r="D22" s="176">
        <f>HLOOKUP($B$2,$J$21:$U$31,2)</f>
        <v>0.13443850267379678</v>
      </c>
      <c r="E22" s="176">
        <f>HLOOKUP($B$3,$J$21:$U$31,2)</f>
        <v>5.8823529411764705E-2</v>
      </c>
      <c r="F22" s="76">
        <v>0</v>
      </c>
      <c r="G22" s="198">
        <v>0.14199999999999999</v>
      </c>
      <c r="H22" s="198">
        <v>5.8823529411764705E-2</v>
      </c>
      <c r="I22" s="199">
        <f>(H22-G22)/220</f>
        <v>-3.7807486631016038E-4</v>
      </c>
      <c r="J22" s="176">
        <f t="shared" ref="J22:U31" si="8">$G22+(J$21-180)*$I22</f>
        <v>0.15334224598930479</v>
      </c>
      <c r="K22" s="176">
        <f t="shared" si="8"/>
        <v>0.13443850267379678</v>
      </c>
      <c r="L22" s="176">
        <f t="shared" si="8"/>
        <v>0.11553475935828876</v>
      </c>
      <c r="M22" s="176">
        <f t="shared" si="8"/>
        <v>9.6631016042780737E-2</v>
      </c>
      <c r="N22" s="176">
        <f t="shared" si="8"/>
        <v>7.7727272727272728E-2</v>
      </c>
      <c r="O22" s="176">
        <f t="shared" si="8"/>
        <v>5.8823529411764705E-2</v>
      </c>
      <c r="P22" s="176">
        <f t="shared" si="8"/>
        <v>3.9919786096256682E-2</v>
      </c>
      <c r="Q22" s="176">
        <f t="shared" si="8"/>
        <v>2.1016042780748673E-2</v>
      </c>
      <c r="R22" s="176">
        <f t="shared" si="8"/>
        <v>2.1122994652406357E-3</v>
      </c>
      <c r="S22" s="176">
        <f t="shared" si="8"/>
        <v>-1.6791443850267374E-2</v>
      </c>
      <c r="T22" s="176">
        <f t="shared" si="8"/>
        <v>-3.5695187165775383E-2</v>
      </c>
      <c r="U22" s="176">
        <f t="shared" si="8"/>
        <v>-5.459893048128342E-2</v>
      </c>
    </row>
    <row r="23" spans="1:21" ht="15.75" x14ac:dyDescent="0.25">
      <c r="A23" s="175">
        <f t="shared" si="7"/>
        <v>0</v>
      </c>
      <c r="B23" s="13">
        <v>0</v>
      </c>
      <c r="C23" s="176">
        <f t="shared" ref="C23:C31" si="9">E23-D23</f>
        <v>-8.6470588235294132E-2</v>
      </c>
      <c r="D23" s="176">
        <f>HLOOKUP($B$2,$J$21:$U$31,3)</f>
        <v>0.29235294117647059</v>
      </c>
      <c r="E23" s="176">
        <f>HLOOKUP($B$3,$J$21:$U$31,3)</f>
        <v>0.20588235294117646</v>
      </c>
      <c r="F23" s="76">
        <v>1</v>
      </c>
      <c r="G23" s="198">
        <v>0.30099999999999999</v>
      </c>
      <c r="H23" s="198">
        <v>0.20588235294117646</v>
      </c>
      <c r="I23" s="199">
        <f t="shared" ref="I23:I31" si="10">(H23-G23)/220</f>
        <v>-4.3235294117647058E-4</v>
      </c>
      <c r="J23" s="176">
        <f t="shared" si="8"/>
        <v>0.31397058823529411</v>
      </c>
      <c r="K23" s="176">
        <f t="shared" si="8"/>
        <v>0.29235294117647059</v>
      </c>
      <c r="L23" s="176">
        <f t="shared" si="8"/>
        <v>0.27073529411764707</v>
      </c>
      <c r="M23" s="176">
        <f t="shared" si="8"/>
        <v>0.24911764705882353</v>
      </c>
      <c r="N23" s="176">
        <f t="shared" si="8"/>
        <v>0.22749999999999998</v>
      </c>
      <c r="O23" s="176">
        <f t="shared" si="8"/>
        <v>0.20588235294117646</v>
      </c>
      <c r="P23" s="176">
        <f t="shared" si="8"/>
        <v>0.18426470588235294</v>
      </c>
      <c r="Q23" s="176">
        <f t="shared" si="8"/>
        <v>0.16264705882352939</v>
      </c>
      <c r="R23" s="176">
        <f t="shared" si="8"/>
        <v>0.14102941176470588</v>
      </c>
      <c r="S23" s="176">
        <f t="shared" si="8"/>
        <v>0.11941176470588236</v>
      </c>
      <c r="T23" s="176">
        <f t="shared" si="8"/>
        <v>9.7794117647058809E-2</v>
      </c>
      <c r="U23" s="176">
        <f t="shared" si="8"/>
        <v>7.617647058823529E-2</v>
      </c>
    </row>
    <row r="24" spans="1:21" ht="15.75" x14ac:dyDescent="0.25">
      <c r="A24" s="175">
        <f t="shared" si="7"/>
        <v>0</v>
      </c>
      <c r="B24" s="13">
        <v>0</v>
      </c>
      <c r="C24" s="176">
        <f t="shared" si="9"/>
        <v>-6.417112299465233E-4</v>
      </c>
      <c r="D24" s="176">
        <f>HLOOKUP($B$2,$J$21:$U$31,4)</f>
        <v>0.23593582887700534</v>
      </c>
      <c r="E24" s="176">
        <f>HLOOKUP($B$3,$J$21:$U$31,4)</f>
        <v>0.23529411764705882</v>
      </c>
      <c r="F24" s="76">
        <v>2</v>
      </c>
      <c r="G24" s="198">
        <v>0.23599999999999999</v>
      </c>
      <c r="H24" s="198">
        <v>0.23529411764705882</v>
      </c>
      <c r="I24" s="199">
        <f t="shared" si="10"/>
        <v>-3.2085561497325786E-6</v>
      </c>
      <c r="J24" s="176">
        <f t="shared" si="8"/>
        <v>0.23609625668449197</v>
      </c>
      <c r="K24" s="176">
        <f t="shared" si="8"/>
        <v>0.23593582887700534</v>
      </c>
      <c r="L24" s="176">
        <f t="shared" si="8"/>
        <v>0.23577540106951872</v>
      </c>
      <c r="M24" s="176">
        <f t="shared" si="8"/>
        <v>0.23561497326203207</v>
      </c>
      <c r="N24" s="176">
        <f t="shared" si="8"/>
        <v>0.23545454545454544</v>
      </c>
      <c r="O24" s="176">
        <f t="shared" si="8"/>
        <v>0.23529411764705882</v>
      </c>
      <c r="P24" s="176">
        <f t="shared" si="8"/>
        <v>0.2351336898395722</v>
      </c>
      <c r="Q24" s="176">
        <f t="shared" si="8"/>
        <v>0.23497326203208557</v>
      </c>
      <c r="R24" s="176">
        <f t="shared" si="8"/>
        <v>0.23481283422459892</v>
      </c>
      <c r="S24" s="176">
        <f t="shared" si="8"/>
        <v>0.2346524064171123</v>
      </c>
      <c r="T24" s="176">
        <f t="shared" si="8"/>
        <v>0.23449197860962567</v>
      </c>
      <c r="U24" s="176">
        <f t="shared" si="8"/>
        <v>0.23433155080213905</v>
      </c>
    </row>
    <row r="25" spans="1:21" ht="15.75" x14ac:dyDescent="0.25">
      <c r="A25" s="175">
        <f t="shared" si="7"/>
        <v>1.9893048128342239</v>
      </c>
      <c r="B25" s="13">
        <v>0.6</v>
      </c>
      <c r="C25" s="176">
        <f t="shared" si="9"/>
        <v>3.3155080213903732E-2</v>
      </c>
      <c r="D25" s="176">
        <f>HLOOKUP($B$2,$J$21:$U$31,5)</f>
        <v>0.1433155080213904</v>
      </c>
      <c r="E25" s="176">
        <f>HLOOKUP($B$3,$J$21:$U$31,5)</f>
        <v>0.17647058823529413</v>
      </c>
      <c r="F25" s="76">
        <v>3</v>
      </c>
      <c r="G25" s="198">
        <v>0.14000000000000001</v>
      </c>
      <c r="H25" s="198">
        <v>0.17647058823529413</v>
      </c>
      <c r="I25" s="199">
        <f t="shared" si="10"/>
        <v>1.6577540106951872E-4</v>
      </c>
      <c r="J25" s="176">
        <f t="shared" si="8"/>
        <v>0.13502673796791445</v>
      </c>
      <c r="K25" s="176">
        <f t="shared" si="8"/>
        <v>0.1433155080213904</v>
      </c>
      <c r="L25" s="176">
        <f t="shared" si="8"/>
        <v>0.15160427807486632</v>
      </c>
      <c r="M25" s="176">
        <f t="shared" si="8"/>
        <v>0.15989304812834226</v>
      </c>
      <c r="N25" s="176">
        <f t="shared" si="8"/>
        <v>0.16818181818181821</v>
      </c>
      <c r="O25" s="176">
        <f t="shared" si="8"/>
        <v>0.17647058823529413</v>
      </c>
      <c r="P25" s="176">
        <f t="shared" si="8"/>
        <v>0.18475935828877008</v>
      </c>
      <c r="Q25" s="176">
        <f t="shared" si="8"/>
        <v>0.19304812834224599</v>
      </c>
      <c r="R25" s="176">
        <f t="shared" si="8"/>
        <v>0.20133689839572194</v>
      </c>
      <c r="S25" s="176">
        <f t="shared" si="8"/>
        <v>0.20962566844919789</v>
      </c>
      <c r="T25" s="176">
        <f t="shared" si="8"/>
        <v>0.21791443850267381</v>
      </c>
      <c r="U25" s="176">
        <f t="shared" si="8"/>
        <v>0.22620320855614975</v>
      </c>
    </row>
    <row r="26" spans="1:21" ht="15.75" x14ac:dyDescent="0.25">
      <c r="A26" s="175">
        <f t="shared" si="7"/>
        <v>4.0946524064171124</v>
      </c>
      <c r="B26" s="81">
        <v>1.3</v>
      </c>
      <c r="C26" s="176">
        <f t="shared" si="9"/>
        <v>3.1497326203208553E-2</v>
      </c>
      <c r="D26" s="176">
        <f>HLOOKUP($B$2,$J$21:$U$31,6)</f>
        <v>8.6149732620320857E-2</v>
      </c>
      <c r="E26" s="176">
        <f>HLOOKUP($B$3,$J$21:$U$31,6)</f>
        <v>0.11764705882352941</v>
      </c>
      <c r="F26" s="181">
        <v>4</v>
      </c>
      <c r="G26" s="182">
        <v>8.3000000000000004E-2</v>
      </c>
      <c r="H26" s="182">
        <v>0.11764705882352941</v>
      </c>
      <c r="I26" s="199">
        <f t="shared" si="10"/>
        <v>1.5748663101604275E-4</v>
      </c>
      <c r="J26" s="176">
        <f t="shared" si="8"/>
        <v>7.8275401069518719E-2</v>
      </c>
      <c r="K26" s="176">
        <f t="shared" si="8"/>
        <v>8.6149732620320857E-2</v>
      </c>
      <c r="L26" s="176">
        <f t="shared" si="8"/>
        <v>9.4024064171122995E-2</v>
      </c>
      <c r="M26" s="176">
        <f t="shared" si="8"/>
        <v>0.10189839572192513</v>
      </c>
      <c r="N26" s="176">
        <f t="shared" si="8"/>
        <v>0.10977272727272727</v>
      </c>
      <c r="O26" s="176">
        <f t="shared" si="8"/>
        <v>0.11764705882352941</v>
      </c>
      <c r="P26" s="176">
        <f t="shared" si="8"/>
        <v>0.12552139037433155</v>
      </c>
      <c r="Q26" s="176">
        <f t="shared" si="8"/>
        <v>0.13339572192513369</v>
      </c>
      <c r="R26" s="176">
        <f t="shared" si="8"/>
        <v>0.14127005347593583</v>
      </c>
      <c r="S26" s="176">
        <f t="shared" si="8"/>
        <v>0.14914438502673796</v>
      </c>
      <c r="T26" s="176">
        <f t="shared" si="8"/>
        <v>0.1570187165775401</v>
      </c>
      <c r="U26" s="176">
        <f t="shared" si="8"/>
        <v>0.16489304812834224</v>
      </c>
    </row>
    <row r="27" spans="1:21" ht="15.75" x14ac:dyDescent="0.25">
      <c r="A27" s="175">
        <f t="shared" si="7"/>
        <v>7.4973262032085568</v>
      </c>
      <c r="B27" s="13">
        <v>2</v>
      </c>
      <c r="C27" s="176">
        <f t="shared" si="9"/>
        <v>3.7486631016042785E-2</v>
      </c>
      <c r="D27" s="176">
        <f>HLOOKUP($B$2,$J$21:$U$31,7)</f>
        <v>5.074866310160428E-2</v>
      </c>
      <c r="E27" s="176">
        <f>HLOOKUP($B$3,$J$21:$U$31,7)</f>
        <v>8.8235294117647065E-2</v>
      </c>
      <c r="F27" s="76">
        <v>5</v>
      </c>
      <c r="G27" s="198">
        <v>4.7E-2</v>
      </c>
      <c r="H27" s="198">
        <v>8.8235294117647065E-2</v>
      </c>
      <c r="I27" s="199">
        <f t="shared" si="10"/>
        <v>1.8743315508021392E-4</v>
      </c>
      <c r="J27" s="176">
        <f t="shared" si="8"/>
        <v>4.137700534759358E-2</v>
      </c>
      <c r="K27" s="176">
        <f t="shared" si="8"/>
        <v>5.074866310160428E-2</v>
      </c>
      <c r="L27" s="176">
        <f t="shared" si="8"/>
        <v>6.0120320855614973E-2</v>
      </c>
      <c r="M27" s="176">
        <f t="shared" si="8"/>
        <v>6.9491978609625665E-2</v>
      </c>
      <c r="N27" s="176">
        <f t="shared" si="8"/>
        <v>7.8863636363636358E-2</v>
      </c>
      <c r="O27" s="176">
        <f t="shared" si="8"/>
        <v>8.8235294117647065E-2</v>
      </c>
      <c r="P27" s="176">
        <f t="shared" si="8"/>
        <v>9.7606951871657757E-2</v>
      </c>
      <c r="Q27" s="176">
        <f t="shared" si="8"/>
        <v>0.10697860962566846</v>
      </c>
      <c r="R27" s="176">
        <f t="shared" si="8"/>
        <v>0.11635026737967916</v>
      </c>
      <c r="S27" s="176">
        <f t="shared" si="8"/>
        <v>0.12572192513368985</v>
      </c>
      <c r="T27" s="176">
        <f t="shared" si="8"/>
        <v>0.13509358288770054</v>
      </c>
      <c r="U27" s="176">
        <f t="shared" si="8"/>
        <v>0.14446524064171123</v>
      </c>
    </row>
    <row r="28" spans="1:21" ht="15.75" x14ac:dyDescent="0.25">
      <c r="A28" s="175">
        <f t="shared" si="7"/>
        <v>7.7582887700534764</v>
      </c>
      <c r="B28" s="13">
        <v>2.6</v>
      </c>
      <c r="C28" s="176">
        <f t="shared" si="9"/>
        <v>2.9839572192513368E-2</v>
      </c>
      <c r="D28" s="176">
        <f>HLOOKUP($B$2,$J$21:$U$31,8)</f>
        <v>2.8983957219251337E-2</v>
      </c>
      <c r="E28" s="176">
        <f>HLOOKUP($B$3,$J$21:$U$31,8)</f>
        <v>5.8823529411764705E-2</v>
      </c>
      <c r="F28" s="76">
        <v>6</v>
      </c>
      <c r="G28" s="198">
        <v>2.5999999999999999E-2</v>
      </c>
      <c r="H28" s="198">
        <v>5.8823529411764705E-2</v>
      </c>
      <c r="I28" s="199">
        <f t="shared" si="10"/>
        <v>1.4919786096256687E-4</v>
      </c>
      <c r="J28" s="176">
        <f t="shared" si="8"/>
        <v>2.1524064171122993E-2</v>
      </c>
      <c r="K28" s="176">
        <f t="shared" si="8"/>
        <v>2.8983957219251337E-2</v>
      </c>
      <c r="L28" s="176">
        <f t="shared" si="8"/>
        <v>3.6443850267379681E-2</v>
      </c>
      <c r="M28" s="176">
        <f t="shared" si="8"/>
        <v>4.3903743315508018E-2</v>
      </c>
      <c r="N28" s="176">
        <f t="shared" si="8"/>
        <v>5.1363636363636361E-2</v>
      </c>
      <c r="O28" s="176">
        <f t="shared" si="8"/>
        <v>5.8823529411764705E-2</v>
      </c>
      <c r="P28" s="176">
        <f t="shared" si="8"/>
        <v>6.6283422459893049E-2</v>
      </c>
      <c r="Q28" s="176">
        <f t="shared" si="8"/>
        <v>7.3743315508021393E-2</v>
      </c>
      <c r="R28" s="176">
        <f t="shared" si="8"/>
        <v>8.1203208556149736E-2</v>
      </c>
      <c r="S28" s="176">
        <f t="shared" si="8"/>
        <v>8.866310160427808E-2</v>
      </c>
      <c r="T28" s="176">
        <f t="shared" si="8"/>
        <v>9.6122994652406424E-2</v>
      </c>
      <c r="U28" s="176">
        <f t="shared" si="8"/>
        <v>0.10358288770053477</v>
      </c>
    </row>
    <row r="29" spans="1:21" ht="15.75" x14ac:dyDescent="0.25">
      <c r="A29" s="175">
        <f t="shared" si="7"/>
        <v>4.6235294117647054</v>
      </c>
      <c r="B29" s="13">
        <v>3.3</v>
      </c>
      <c r="C29" s="176">
        <f t="shared" si="9"/>
        <v>1.4010695187165774E-2</v>
      </c>
      <c r="D29" s="176">
        <f>HLOOKUP($B$2,$J$21:$U$31,9)</f>
        <v>1.5401069518716578E-2</v>
      </c>
      <c r="E29" s="176">
        <f>HLOOKUP($B$3,$J$21:$U$31,9)</f>
        <v>2.9411764705882353E-2</v>
      </c>
      <c r="F29" s="76">
        <v>7</v>
      </c>
      <c r="G29" s="198">
        <v>1.4E-2</v>
      </c>
      <c r="H29" s="198">
        <v>2.9411764705882353E-2</v>
      </c>
      <c r="I29" s="199">
        <f t="shared" si="10"/>
        <v>7.0053475935828876E-5</v>
      </c>
      <c r="J29" s="176">
        <f t="shared" si="8"/>
        <v>1.1898395721925133E-2</v>
      </c>
      <c r="K29" s="176">
        <f t="shared" si="8"/>
        <v>1.5401069518716578E-2</v>
      </c>
      <c r="L29" s="176">
        <f t="shared" si="8"/>
        <v>1.8903743315508023E-2</v>
      </c>
      <c r="M29" s="176">
        <f t="shared" si="8"/>
        <v>2.2406417112299466E-2</v>
      </c>
      <c r="N29" s="176">
        <f t="shared" si="8"/>
        <v>2.5909090909090909E-2</v>
      </c>
      <c r="O29" s="176">
        <f t="shared" si="8"/>
        <v>2.9411764705882353E-2</v>
      </c>
      <c r="P29" s="176">
        <f t="shared" si="8"/>
        <v>3.2914438502673796E-2</v>
      </c>
      <c r="Q29" s="176">
        <f t="shared" si="8"/>
        <v>3.6417112299465239E-2</v>
      </c>
      <c r="R29" s="176">
        <f t="shared" si="8"/>
        <v>3.9919786096256682E-2</v>
      </c>
      <c r="S29" s="176">
        <f t="shared" si="8"/>
        <v>4.3422459893048125E-2</v>
      </c>
      <c r="T29" s="176">
        <f t="shared" si="8"/>
        <v>4.6925133689839568E-2</v>
      </c>
      <c r="U29" s="176">
        <f t="shared" si="8"/>
        <v>5.0427807486631011E-2</v>
      </c>
    </row>
    <row r="30" spans="1:21" ht="15.75" x14ac:dyDescent="0.25">
      <c r="A30" s="175">
        <f t="shared" si="7"/>
        <v>7.5914438502673791</v>
      </c>
      <c r="B30" s="13">
        <v>3.9</v>
      </c>
      <c r="C30" s="176">
        <f t="shared" si="9"/>
        <v>1.9465240641711228E-2</v>
      </c>
      <c r="D30" s="176">
        <f>HLOOKUP($B$2,$J$21:$U$31,10)</f>
        <v>9.9465240641711233E-3</v>
      </c>
      <c r="E30" s="176">
        <f>HLOOKUP($B$3,$J$21:$U$31,10)</f>
        <v>2.9411764705882353E-2</v>
      </c>
      <c r="F30" s="76">
        <v>8</v>
      </c>
      <c r="G30" s="198">
        <v>8.0000000000000002E-3</v>
      </c>
      <c r="H30" s="198">
        <v>2.9411764705882353E-2</v>
      </c>
      <c r="I30" s="199">
        <f t="shared" si="10"/>
        <v>9.7326203208556152E-5</v>
      </c>
      <c r="J30" s="176">
        <f t="shared" si="8"/>
        <v>5.0802139037433155E-3</v>
      </c>
      <c r="K30" s="176">
        <f t="shared" si="8"/>
        <v>9.9465240641711233E-3</v>
      </c>
      <c r="L30" s="176">
        <f t="shared" si="8"/>
        <v>1.481283422459893E-2</v>
      </c>
      <c r="M30" s="176">
        <f t="shared" si="8"/>
        <v>1.9679144385026739E-2</v>
      </c>
      <c r="N30" s="176">
        <f t="shared" si="8"/>
        <v>2.4545454545454547E-2</v>
      </c>
      <c r="O30" s="176">
        <f t="shared" si="8"/>
        <v>2.9411764705882353E-2</v>
      </c>
      <c r="P30" s="176">
        <f t="shared" si="8"/>
        <v>3.4278074866310161E-2</v>
      </c>
      <c r="Q30" s="176">
        <f t="shared" si="8"/>
        <v>3.914438502673797E-2</v>
      </c>
      <c r="R30" s="176">
        <f t="shared" si="8"/>
        <v>4.4010695187165778E-2</v>
      </c>
      <c r="S30" s="176">
        <f t="shared" si="8"/>
        <v>4.8877005347593587E-2</v>
      </c>
      <c r="T30" s="176">
        <f t="shared" si="8"/>
        <v>5.3743315508021389E-2</v>
      </c>
      <c r="U30" s="176">
        <f t="shared" si="8"/>
        <v>5.8609625668449197E-2</v>
      </c>
    </row>
    <row r="31" spans="1:21" ht="15.75" x14ac:dyDescent="0.25">
      <c r="A31" s="200">
        <f t="shared" si="7"/>
        <v>-1.2545454545454546</v>
      </c>
      <c r="B31" s="97">
        <v>4.5999999999999996</v>
      </c>
      <c r="C31" s="187">
        <f t="shared" si="9"/>
        <v>-2.7272727272727275E-3</v>
      </c>
      <c r="D31" s="187">
        <f>HLOOKUP($B$2,$J$21:$U$31,11)</f>
        <v>2.7272727272727275E-3</v>
      </c>
      <c r="E31" s="187">
        <f>HLOOKUP($B$3,$J$21:$U$31,11)</f>
        <v>0</v>
      </c>
      <c r="F31" s="188">
        <v>9</v>
      </c>
      <c r="G31" s="201">
        <v>3.0000000000000001E-3</v>
      </c>
      <c r="H31" s="201">
        <v>0</v>
      </c>
      <c r="I31" s="202">
        <f t="shared" si="10"/>
        <v>-1.3636363636363637E-5</v>
      </c>
      <c r="J31" s="187">
        <f t="shared" si="8"/>
        <v>3.4090909090909094E-3</v>
      </c>
      <c r="K31" s="187">
        <f t="shared" si="8"/>
        <v>2.7272727272727275E-3</v>
      </c>
      <c r="L31" s="187">
        <f t="shared" si="8"/>
        <v>2.0454545454545456E-3</v>
      </c>
      <c r="M31" s="187">
        <f t="shared" si="8"/>
        <v>1.3636363636363637E-3</v>
      </c>
      <c r="N31" s="187">
        <f t="shared" si="8"/>
        <v>6.8181818181818187E-4</v>
      </c>
      <c r="O31" s="187">
        <f t="shared" si="8"/>
        <v>0</v>
      </c>
      <c r="P31" s="187">
        <f t="shared" si="8"/>
        <v>-6.8181818181818187E-4</v>
      </c>
      <c r="Q31" s="187">
        <f t="shared" si="8"/>
        <v>-1.3636363636363637E-3</v>
      </c>
      <c r="R31" s="187">
        <f t="shared" si="8"/>
        <v>-2.0454545454545456E-3</v>
      </c>
      <c r="S31" s="187">
        <f t="shared" si="8"/>
        <v>-2.7272727272727275E-3</v>
      </c>
      <c r="T31" s="187">
        <f t="shared" si="8"/>
        <v>-3.4090909090909094E-3</v>
      </c>
      <c r="U31" s="187">
        <f t="shared" si="8"/>
        <v>-4.0909090909090912E-3</v>
      </c>
    </row>
    <row r="32" spans="1:21" x14ac:dyDescent="0.25">
      <c r="A32" s="175">
        <f>SUM(A22:A31)</f>
        <v>32.299999999999997</v>
      </c>
      <c r="C32" s="191"/>
      <c r="D32" s="191"/>
      <c r="E32" s="191"/>
      <c r="J32" s="192">
        <f>SUM(J22:J31)</f>
        <v>0.99999999999999989</v>
      </c>
      <c r="K32" s="192">
        <f t="shared" ref="K32:U32" si="11">SUM(K22:K31)</f>
        <v>0.99999999999999989</v>
      </c>
      <c r="L32" s="192">
        <f t="shared" si="11"/>
        <v>1</v>
      </c>
      <c r="M32" s="192">
        <f t="shared" si="11"/>
        <v>1</v>
      </c>
      <c r="N32" s="192">
        <f t="shared" si="11"/>
        <v>1</v>
      </c>
      <c r="O32" s="192">
        <f t="shared" si="11"/>
        <v>1</v>
      </c>
      <c r="P32" s="192">
        <f t="shared" si="11"/>
        <v>1</v>
      </c>
      <c r="Q32" s="192">
        <f t="shared" si="11"/>
        <v>0.99999999999999989</v>
      </c>
      <c r="R32" s="192">
        <f t="shared" si="11"/>
        <v>0.99999999999999989</v>
      </c>
      <c r="S32" s="192">
        <f t="shared" si="11"/>
        <v>1</v>
      </c>
      <c r="T32" s="192">
        <f t="shared" si="11"/>
        <v>1</v>
      </c>
      <c r="U32" s="192">
        <f t="shared" si="11"/>
        <v>1</v>
      </c>
    </row>
    <row r="33" spans="1:21" x14ac:dyDescent="0.25">
      <c r="A33" s="193"/>
      <c r="C33" s="191"/>
      <c r="D33" s="191"/>
      <c r="E33" s="191"/>
      <c r="J33" s="176"/>
      <c r="K33" s="176"/>
      <c r="L33" s="176"/>
      <c r="M33" s="176"/>
      <c r="N33" s="176"/>
      <c r="O33" s="176"/>
      <c r="P33" s="176"/>
      <c r="Q33" s="176"/>
      <c r="R33" s="176"/>
      <c r="S33" s="176"/>
      <c r="T33" s="176"/>
      <c r="U33" s="176"/>
    </row>
    <row r="34" spans="1:21" x14ac:dyDescent="0.25">
      <c r="A34" s="193"/>
      <c r="C34" s="191"/>
      <c r="D34" s="191"/>
      <c r="E34" s="191"/>
      <c r="J34" s="176"/>
      <c r="K34" s="176"/>
      <c r="L34" s="176"/>
      <c r="M34" s="176"/>
      <c r="N34" s="176"/>
      <c r="O34" s="176"/>
      <c r="P34" s="176"/>
      <c r="Q34" s="176"/>
      <c r="R34" s="176"/>
      <c r="S34" s="176"/>
      <c r="T34" s="176"/>
      <c r="U34" s="176"/>
    </row>
    <row r="35" spans="1:21" x14ac:dyDescent="0.25">
      <c r="A35" s="193"/>
      <c r="C35" s="191"/>
      <c r="D35" s="191"/>
      <c r="E35" s="191"/>
      <c r="J35" s="176"/>
      <c r="K35" s="176"/>
      <c r="L35" s="176"/>
      <c r="M35" s="176"/>
      <c r="N35" s="176"/>
      <c r="O35" s="176"/>
      <c r="P35" s="176"/>
      <c r="Q35" s="176"/>
      <c r="R35" s="176"/>
      <c r="S35" s="176"/>
      <c r="T35" s="176"/>
      <c r="U35" s="176"/>
    </row>
    <row r="36" spans="1:21" x14ac:dyDescent="0.25">
      <c r="A36" s="193"/>
      <c r="C36" s="191"/>
      <c r="D36" s="191"/>
      <c r="E36" s="191"/>
    </row>
    <row r="37" spans="1:21" x14ac:dyDescent="0.25">
      <c r="A37" s="193"/>
      <c r="C37" s="191"/>
      <c r="D37" s="191"/>
      <c r="E37" s="191"/>
    </row>
    <row r="38" spans="1:21" x14ac:dyDescent="0.25">
      <c r="A38" s="193"/>
      <c r="C38" s="191"/>
      <c r="D38" s="191"/>
      <c r="E38" s="191"/>
    </row>
    <row r="39" spans="1:21" x14ac:dyDescent="0.25">
      <c r="A39" s="193"/>
      <c r="C39" s="191"/>
      <c r="D39" s="191"/>
      <c r="E39" s="191"/>
    </row>
    <row r="40" spans="1:21" x14ac:dyDescent="0.25">
      <c r="A40" s="193"/>
      <c r="C40" s="191"/>
      <c r="D40" s="191"/>
      <c r="E40" s="191"/>
    </row>
    <row r="41" spans="1:21" x14ac:dyDescent="0.25">
      <c r="A41" s="193"/>
      <c r="C41" s="191"/>
      <c r="D41" s="191"/>
      <c r="E41" s="191"/>
    </row>
    <row r="42" spans="1:21" x14ac:dyDescent="0.25">
      <c r="A42" s="193"/>
      <c r="C42" s="191"/>
      <c r="D42" s="191"/>
      <c r="E42" s="191"/>
    </row>
    <row r="43" spans="1:21" x14ac:dyDescent="0.25">
      <c r="C43" s="191"/>
      <c r="D43" s="191"/>
      <c r="E43" s="19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Inhaltsstoffbewertung</vt:lpstr>
      <vt:lpstr>ZZ Verluste</vt:lpstr>
      <vt:lpstr>Mastitis Loss</vt:lpstr>
      <vt:lpstr>Mastitis Loss estimates</vt:lpstr>
    </vt:vector>
  </TitlesOfParts>
  <Company>HBV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Sibylle Möcklinghof-Wicke</dc:creator>
  <cp:lastModifiedBy>Sibylle Möcklinghof-Wicke</cp:lastModifiedBy>
  <cp:lastPrinted>2016-09-07T08:41:20Z</cp:lastPrinted>
  <dcterms:created xsi:type="dcterms:W3CDTF">2016-09-03T15:21:51Z</dcterms:created>
  <dcterms:modified xsi:type="dcterms:W3CDTF">2016-09-07T11:41:19Z</dcterms:modified>
</cp:coreProperties>
</file>